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tthewAnstett\Downloads\"/>
    </mc:Choice>
  </mc:AlternateContent>
  <xr:revisionPtr revIDLastSave="0" documentId="13_ncr:1_{E8620B79-6A37-4FED-8938-FB0579AC3B05}" xr6:coauthVersionLast="47" xr6:coauthVersionMax="47" xr10:uidLastSave="{00000000-0000-0000-0000-000000000000}"/>
  <bookViews>
    <workbookView xWindow="-108" yWindow="-108" windowWidth="23256" windowHeight="12456" tabRatio="770" xr2:uid="{A5716FF7-142D-4E52-9CCF-E2C2F1E5B708}"/>
  </bookViews>
  <sheets>
    <sheet name="Home Page" sheetId="3" r:id="rId1"/>
    <sheet name="Inputs &gt;&gt;&gt;" sheetId="5" r:id="rId2"/>
    <sheet name="Core Inputs Interface" sheetId="4" r:id="rId3"/>
    <sheet name="Optional Project-Level Input" sheetId="12" r:id="rId4"/>
    <sheet name="Glossary" sheetId="17" r:id="rId5"/>
    <sheet name="Outputs &gt;&gt;&gt;" sheetId="14" r:id="rId6"/>
    <sheet name="Summary" sheetId="7" r:id="rId7"/>
    <sheet name="Detailed Breakdown" sheetId="8" r:id="rId8"/>
    <sheet name="Downloadable Outputs" sheetId="9" r:id="rId9"/>
    <sheet name="Model &gt;&gt;&gt;" sheetId="15" r:id="rId10"/>
    <sheet name="Model Calcuations" sheetId="16" r:id="rId11"/>
  </sheets>
  <definedNames>
    <definedName name="_xlnm._FilterDatabase" localSheetId="8" hidden="1">'Downloadable Outputs'!$B$7:$L$201</definedName>
    <definedName name="Summary_Chart1_Assets">_xlfn.ANCHORARRAY('Model Calcuations'!$BA$14)</definedName>
    <definedName name="Summary_Chart1_Base">_xlfn.ANCHORARRAY('Model Calcuations'!$BA$16)</definedName>
    <definedName name="Summary_Chart1_Total">_xlfn.ANCHORARRAY('Model Calcuations'!$BA$19)</definedName>
    <definedName name="Summary_Chart1_Value2">_xlfn.ANCHORARRAY('Model Calcuations'!$BA$18)</definedName>
    <definedName name="Summary_Chart2_Assets">_xlfn.ANCHORARRAY('Model Calcuations'!$BA$51)</definedName>
    <definedName name="Summary_Chart2_Base">_xlfn.ANCHORARRAY('Model Calcuations'!$BA$53)</definedName>
    <definedName name="Summary_Chart2_Total">_xlfn.ANCHORARRAY('Model Calcuations'!$BA$56)</definedName>
    <definedName name="Summary_Chart2_Value2">_xlfn.ANCHORARRAY('Model Calcuations'!$BA$55)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5" l="1" a="1"/>
  <c r="A2" i="5" s="1"/>
  <c r="A2" i="14" a="1"/>
  <c r="A2" i="14" s="1"/>
  <c r="A2" i="15" a="1"/>
  <c r="A2" i="15" s="1"/>
  <c r="B4" i="16" a="1"/>
  <c r="B4" i="16" s="1"/>
  <c r="B4" i="9" a="1"/>
  <c r="B4" i="9" s="1"/>
  <c r="B4" i="7" l="1" a="1"/>
  <c r="B4" i="7" s="1"/>
  <c r="B4" i="4" a="1"/>
  <c r="B4" i="4" s="1"/>
  <c r="B4" i="12" a="1"/>
  <c r="B4" i="12" s="1"/>
  <c r="B4" i="17" a="1"/>
  <c r="B4" i="17" s="1"/>
  <c r="A26" i="3" a="1"/>
  <c r="A26" i="3" s="1"/>
  <c r="C26" i="3" s="1"/>
  <c r="B1" i="17" a="1"/>
  <c r="B1" i="17" s="1"/>
  <c r="B4" i="8" a="1"/>
  <c r="B4" i="8" s="1"/>
  <c r="D2" i="5" a="1"/>
  <c r="D2" i="5" s="1"/>
  <c r="H14" i="12"/>
  <c r="I14" i="12"/>
  <c r="H15" i="12"/>
  <c r="I15" i="12"/>
  <c r="H16" i="12"/>
  <c r="I16" i="12"/>
  <c r="H17" i="12"/>
  <c r="I17" i="12"/>
  <c r="H18" i="12"/>
  <c r="F20" i="12"/>
  <c r="G20" i="12"/>
  <c r="H20" i="12"/>
  <c r="F21" i="12"/>
  <c r="G21" i="12"/>
  <c r="H21" i="12"/>
  <c r="F22" i="12"/>
  <c r="G22" i="12"/>
  <c r="H22" i="12"/>
  <c r="F23" i="12"/>
  <c r="G23" i="12"/>
  <c r="H23" i="12"/>
  <c r="F24" i="12"/>
  <c r="G24" i="12"/>
  <c r="H24" i="12"/>
  <c r="F25" i="12"/>
  <c r="G25" i="12"/>
  <c r="H25" i="12"/>
  <c r="F26" i="12"/>
  <c r="G26" i="12"/>
  <c r="H26" i="12"/>
  <c r="F27" i="12"/>
  <c r="G27" i="12"/>
  <c r="H27" i="12"/>
  <c r="F28" i="12"/>
  <c r="G28" i="12"/>
  <c r="H28" i="12"/>
  <c r="F29" i="12"/>
  <c r="G29" i="12"/>
  <c r="H29" i="12"/>
  <c r="F30" i="12"/>
  <c r="G30" i="12"/>
  <c r="H30" i="12"/>
  <c r="F31" i="12"/>
  <c r="G31" i="12"/>
  <c r="H31" i="12"/>
  <c r="F32" i="12"/>
  <c r="G32" i="12"/>
  <c r="H32" i="12"/>
  <c r="F33" i="12"/>
  <c r="G33" i="12"/>
  <c r="H33" i="12"/>
  <c r="F34" i="12"/>
  <c r="G34" i="12"/>
  <c r="H34" i="12"/>
  <c r="F35" i="12"/>
  <c r="G35" i="12"/>
  <c r="H35" i="12"/>
  <c r="F36" i="12"/>
  <c r="G36" i="12"/>
  <c r="H36" i="12"/>
  <c r="F37" i="12"/>
  <c r="G37" i="12"/>
  <c r="H37" i="12"/>
  <c r="F38" i="12"/>
  <c r="G38" i="12"/>
  <c r="H38" i="12"/>
  <c r="F39" i="12"/>
  <c r="G39" i="12"/>
  <c r="H39" i="12"/>
  <c r="F40" i="12"/>
  <c r="G40" i="12"/>
  <c r="H40" i="12"/>
  <c r="F41" i="12"/>
  <c r="G41" i="12"/>
  <c r="H41" i="12"/>
  <c r="F42" i="12"/>
  <c r="G42" i="12"/>
  <c r="H42" i="12"/>
  <c r="F43" i="12"/>
  <c r="G43" i="12"/>
  <c r="H43" i="12"/>
  <c r="F44" i="12"/>
  <c r="G44" i="12"/>
  <c r="H44" i="12"/>
  <c r="F45" i="12"/>
  <c r="G45" i="12"/>
  <c r="H45" i="12"/>
  <c r="F46" i="12"/>
  <c r="G46" i="12"/>
  <c r="H46" i="12"/>
  <c r="F47" i="12"/>
  <c r="G47" i="12"/>
  <c r="H47" i="12"/>
  <c r="F48" i="12"/>
  <c r="G48" i="12"/>
  <c r="H48" i="12"/>
  <c r="F49" i="12"/>
  <c r="G49" i="12"/>
  <c r="H49" i="12"/>
  <c r="F50" i="12"/>
  <c r="G50" i="12"/>
  <c r="H50" i="12"/>
  <c r="F51" i="12"/>
  <c r="G51" i="12"/>
  <c r="H51" i="12"/>
  <c r="F52" i="12"/>
  <c r="G52" i="12"/>
  <c r="H52" i="12"/>
  <c r="K43" i="12"/>
  <c r="K44" i="12"/>
  <c r="K45" i="12"/>
  <c r="K46" i="12"/>
  <c r="K47" i="12"/>
  <c r="K48" i="12"/>
  <c r="K49" i="12"/>
  <c r="K50" i="12"/>
  <c r="K51" i="12"/>
  <c r="K52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AJ513" i="16"/>
  <c r="L26" i="16"/>
  <c r="L27" i="16"/>
  <c r="L28" i="16"/>
  <c r="L29" i="16"/>
  <c r="L30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AQ559" i="16"/>
  <c r="GE8" i="16"/>
  <c r="HP8" i="16" s="1"/>
  <c r="C7" i="8" a="1"/>
  <c r="C7" i="8" s="1"/>
  <c r="J19" i="12"/>
  <c r="I9" i="12"/>
  <c r="H9" i="12"/>
  <c r="G9" i="12"/>
  <c r="F9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G14" i="4" a="1"/>
  <c r="G14" i="4" s="1"/>
  <c r="H14" i="4" s="1"/>
  <c r="A32" i="3" a="1"/>
  <c r="A32" i="3" s="1"/>
  <c r="C32" i="3" s="1"/>
  <c r="A31" i="3" a="1"/>
  <c r="A31" i="3" s="1"/>
  <c r="B31" i="3" s="1"/>
  <c r="AF536" i="16"/>
  <c r="AF535" i="16"/>
  <c r="AF534" i="16"/>
  <c r="AK534" i="16" s="1"/>
  <c r="AF533" i="16"/>
  <c r="AK533" i="16" s="1"/>
  <c r="AF532" i="16"/>
  <c r="AK532" i="16" s="1"/>
  <c r="AF531" i="16"/>
  <c r="AK531" i="16" s="1"/>
  <c r="AF530" i="16"/>
  <c r="AK530" i="16" s="1"/>
  <c r="AF529" i="16"/>
  <c r="AK529" i="16" s="1"/>
  <c r="AF528" i="16"/>
  <c r="AK528" i="16" s="1"/>
  <c r="AF527" i="16"/>
  <c r="AF526" i="16"/>
  <c r="AK526" i="16" s="1"/>
  <c r="AF525" i="16"/>
  <c r="AK525" i="16" s="1"/>
  <c r="AF524" i="16"/>
  <c r="AK524" i="16" s="1"/>
  <c r="AF523" i="16"/>
  <c r="AF522" i="16"/>
  <c r="AK522" i="16" s="1"/>
  <c r="AF521" i="16"/>
  <c r="AK521" i="16" s="1"/>
  <c r="AF520" i="16"/>
  <c r="AK520" i="16" s="1"/>
  <c r="AF519" i="16"/>
  <c r="AK519" i="16" s="1"/>
  <c r="AF518" i="16"/>
  <c r="AK518" i="16" s="1"/>
  <c r="AF517" i="16"/>
  <c r="AK517" i="16" s="1"/>
  <c r="AF516" i="16"/>
  <c r="AJ516" i="16" s="1"/>
  <c r="AG515" i="16"/>
  <c r="AG516" i="16" s="1"/>
  <c r="AF515" i="16"/>
  <c r="AJ515" i="16" s="1"/>
  <c r="AK514" i="16"/>
  <c r="AJ514" i="16"/>
  <c r="AK513" i="16"/>
  <c r="AK512" i="16"/>
  <c r="AJ512" i="16"/>
  <c r="AK511" i="16"/>
  <c r="AJ511" i="16"/>
  <c r="AK510" i="16"/>
  <c r="AJ510" i="16"/>
  <c r="AK509" i="16"/>
  <c r="AJ509" i="16"/>
  <c r="AK508" i="16"/>
  <c r="AJ508" i="16"/>
  <c r="AK507" i="16"/>
  <c r="AJ507" i="16"/>
  <c r="AK506" i="16"/>
  <c r="AJ506" i="16"/>
  <c r="AK505" i="16"/>
  <c r="AJ505" i="16"/>
  <c r="AK504" i="16"/>
  <c r="AJ504" i="16"/>
  <c r="AK503" i="16"/>
  <c r="AJ503" i="16"/>
  <c r="AK502" i="16"/>
  <c r="AJ502" i="16"/>
  <c r="AK501" i="16"/>
  <c r="AJ501" i="16"/>
  <c r="AK500" i="16"/>
  <c r="AJ500" i="16"/>
  <c r="AK499" i="16"/>
  <c r="AJ499" i="16"/>
  <c r="AK498" i="16"/>
  <c r="AJ498" i="16"/>
  <c r="AK497" i="16"/>
  <c r="AJ497" i="16"/>
  <c r="AK496" i="16"/>
  <c r="AJ496" i="16"/>
  <c r="AK495" i="16"/>
  <c r="AJ495" i="16"/>
  <c r="AJ494" i="16"/>
  <c r="AG494" i="16"/>
  <c r="AQ494" i="16" s="1"/>
  <c r="AQ493" i="16"/>
  <c r="AJ493" i="16"/>
  <c r="AF492" i="16"/>
  <c r="AF491" i="16"/>
  <c r="AF490" i="16"/>
  <c r="AJ490" i="16" s="1"/>
  <c r="AF489" i="16"/>
  <c r="AK489" i="16" s="1"/>
  <c r="AF488" i="16"/>
  <c r="AK488" i="16" s="1"/>
  <c r="AF487" i="16"/>
  <c r="AK487" i="16" s="1"/>
  <c r="AF486" i="16"/>
  <c r="AJ486" i="16" s="1"/>
  <c r="AF485" i="16"/>
  <c r="AK485" i="16" s="1"/>
  <c r="AF484" i="16"/>
  <c r="AK484" i="16" s="1"/>
  <c r="AF483" i="16"/>
  <c r="AF482" i="16"/>
  <c r="AJ482" i="16" s="1"/>
  <c r="AF481" i="16"/>
  <c r="AK481" i="16" s="1"/>
  <c r="AF480" i="16"/>
  <c r="AK480" i="16" s="1"/>
  <c r="AF479" i="16"/>
  <c r="AF478" i="16"/>
  <c r="AJ478" i="16" s="1"/>
  <c r="AF477" i="16"/>
  <c r="AK477" i="16" s="1"/>
  <c r="AF476" i="16"/>
  <c r="AK476" i="16" s="1"/>
  <c r="AF475" i="16"/>
  <c r="AF474" i="16"/>
  <c r="AJ474" i="16" s="1"/>
  <c r="AF473" i="16"/>
  <c r="AK473" i="16" s="1"/>
  <c r="AF472" i="16"/>
  <c r="AG471" i="16"/>
  <c r="AG472" i="16" s="1"/>
  <c r="AF471" i="16"/>
  <c r="AJ471" i="16" s="1"/>
  <c r="AK470" i="16"/>
  <c r="AJ470" i="16"/>
  <c r="AK469" i="16"/>
  <c r="AJ469" i="16"/>
  <c r="AK468" i="16"/>
  <c r="AJ468" i="16"/>
  <c r="AK467" i="16"/>
  <c r="AJ467" i="16"/>
  <c r="AK466" i="16"/>
  <c r="AJ466" i="16"/>
  <c r="AK465" i="16"/>
  <c r="AJ465" i="16"/>
  <c r="AK464" i="16"/>
  <c r="AJ464" i="16"/>
  <c r="AK463" i="16"/>
  <c r="AJ463" i="16"/>
  <c r="AK462" i="16"/>
  <c r="AJ462" i="16"/>
  <c r="AK461" i="16"/>
  <c r="AJ461" i="16"/>
  <c r="AK460" i="16"/>
  <c r="AJ460" i="16"/>
  <c r="AK459" i="16"/>
  <c r="AJ459" i="16"/>
  <c r="AK458" i="16"/>
  <c r="AJ458" i="16"/>
  <c r="AK457" i="16"/>
  <c r="AJ457" i="16"/>
  <c r="AK456" i="16"/>
  <c r="AJ456" i="16"/>
  <c r="AK455" i="16"/>
  <c r="AJ455" i="16"/>
  <c r="AK454" i="16"/>
  <c r="AJ454" i="16"/>
  <c r="AK453" i="16"/>
  <c r="AJ453" i="16"/>
  <c r="AK452" i="16"/>
  <c r="AJ452" i="16"/>
  <c r="AK451" i="16"/>
  <c r="AJ451" i="16"/>
  <c r="AJ450" i="16"/>
  <c r="AG450" i="16"/>
  <c r="AQ450" i="16" s="1"/>
  <c r="AQ449" i="16"/>
  <c r="AJ449" i="16"/>
  <c r="AF448" i="16"/>
  <c r="AF447" i="16"/>
  <c r="AF446" i="16"/>
  <c r="AJ446" i="16" s="1"/>
  <c r="AF445" i="16"/>
  <c r="AF444" i="16"/>
  <c r="AF443" i="16"/>
  <c r="AF442" i="16"/>
  <c r="AJ442" i="16" s="1"/>
  <c r="AF441" i="16"/>
  <c r="AF440" i="16"/>
  <c r="AF439" i="16"/>
  <c r="AF438" i="16"/>
  <c r="AJ438" i="16" s="1"/>
  <c r="AF437" i="16"/>
  <c r="AF436" i="16"/>
  <c r="AF435" i="16"/>
  <c r="AK435" i="16" s="1"/>
  <c r="AF434" i="16"/>
  <c r="AJ434" i="16" s="1"/>
  <c r="AF433" i="16"/>
  <c r="AF432" i="16"/>
  <c r="AF431" i="16"/>
  <c r="AJ431" i="16" s="1"/>
  <c r="AF430" i="16"/>
  <c r="AF429" i="16"/>
  <c r="AF428" i="16"/>
  <c r="AG427" i="16"/>
  <c r="AG428" i="16" s="1"/>
  <c r="AF427" i="16"/>
  <c r="AJ427" i="16" s="1"/>
  <c r="AK426" i="16"/>
  <c r="AJ426" i="16"/>
  <c r="AK425" i="16"/>
  <c r="AJ425" i="16"/>
  <c r="AK424" i="16"/>
  <c r="AJ424" i="16"/>
  <c r="AK423" i="16"/>
  <c r="AJ423" i="16"/>
  <c r="AK422" i="16"/>
  <c r="AJ422" i="16"/>
  <c r="AK421" i="16"/>
  <c r="AJ421" i="16"/>
  <c r="AK420" i="16"/>
  <c r="AJ420" i="16"/>
  <c r="AK419" i="16"/>
  <c r="AJ419" i="16"/>
  <c r="AK418" i="16"/>
  <c r="AJ418" i="16"/>
  <c r="AK417" i="16"/>
  <c r="AJ417" i="16"/>
  <c r="AK416" i="16"/>
  <c r="AJ416" i="16"/>
  <c r="AK415" i="16"/>
  <c r="AJ415" i="16"/>
  <c r="AK414" i="16"/>
  <c r="AJ414" i="16"/>
  <c r="AK413" i="16"/>
  <c r="AJ413" i="16"/>
  <c r="AK412" i="16"/>
  <c r="AJ412" i="16"/>
  <c r="AK411" i="16"/>
  <c r="AJ411" i="16"/>
  <c r="AK410" i="16"/>
  <c r="AJ410" i="16"/>
  <c r="AK409" i="16"/>
  <c r="AJ409" i="16"/>
  <c r="AK408" i="16"/>
  <c r="AJ408" i="16"/>
  <c r="AK407" i="16"/>
  <c r="AJ407" i="16"/>
  <c r="AJ406" i="16"/>
  <c r="AG406" i="16"/>
  <c r="AQ406" i="16" s="1"/>
  <c r="AQ405" i="16"/>
  <c r="AJ405" i="16"/>
  <c r="AF404" i="16"/>
  <c r="AK404" i="16" s="1"/>
  <c r="AF403" i="16"/>
  <c r="AK403" i="16" s="1"/>
  <c r="AF402" i="16"/>
  <c r="AJ402" i="16" s="1"/>
  <c r="AF401" i="16"/>
  <c r="AF400" i="16"/>
  <c r="AK400" i="16" s="1"/>
  <c r="AF399" i="16"/>
  <c r="AF398" i="16"/>
  <c r="AJ398" i="16" s="1"/>
  <c r="AF397" i="16"/>
  <c r="AF396" i="16"/>
  <c r="AK396" i="16" s="1"/>
  <c r="AF395" i="16"/>
  <c r="AK395" i="16" s="1"/>
  <c r="AF394" i="16"/>
  <c r="AF393" i="16"/>
  <c r="AF392" i="16"/>
  <c r="AK392" i="16" s="1"/>
  <c r="AF391" i="16"/>
  <c r="AF390" i="16"/>
  <c r="AJ390" i="16" s="1"/>
  <c r="AF389" i="16"/>
  <c r="AK389" i="16" s="1"/>
  <c r="AF388" i="16"/>
  <c r="AK388" i="16" s="1"/>
  <c r="AF387" i="16"/>
  <c r="AK387" i="16" s="1"/>
  <c r="AF386" i="16"/>
  <c r="AJ386" i="16" s="1"/>
  <c r="AF385" i="16"/>
  <c r="AK385" i="16" s="1"/>
  <c r="AF384" i="16"/>
  <c r="AG383" i="16"/>
  <c r="AG384" i="16" s="1"/>
  <c r="AF383" i="16"/>
  <c r="AK382" i="16"/>
  <c r="AJ382" i="16"/>
  <c r="AK381" i="16"/>
  <c r="AJ381" i="16"/>
  <c r="AK380" i="16"/>
  <c r="AJ380" i="16"/>
  <c r="AK379" i="16"/>
  <c r="AJ379" i="16"/>
  <c r="AK378" i="16"/>
  <c r="AJ378" i="16"/>
  <c r="AK377" i="16"/>
  <c r="AJ377" i="16"/>
  <c r="AK376" i="16"/>
  <c r="AJ376" i="16"/>
  <c r="AK375" i="16"/>
  <c r="AJ375" i="16"/>
  <c r="AK374" i="16"/>
  <c r="AJ374" i="16"/>
  <c r="AK373" i="16"/>
  <c r="AJ373" i="16"/>
  <c r="AK372" i="16"/>
  <c r="AJ372" i="16"/>
  <c r="AK371" i="16"/>
  <c r="AJ371" i="16"/>
  <c r="AK370" i="16"/>
  <c r="AJ370" i="16"/>
  <c r="AK369" i="16"/>
  <c r="AJ369" i="16"/>
  <c r="AK368" i="16"/>
  <c r="AJ368" i="16"/>
  <c r="AK367" i="16"/>
  <c r="AJ367" i="16"/>
  <c r="AK366" i="16"/>
  <c r="AJ366" i="16"/>
  <c r="AK365" i="16"/>
  <c r="AJ365" i="16"/>
  <c r="AK364" i="16"/>
  <c r="AJ364" i="16"/>
  <c r="AK363" i="16"/>
  <c r="AJ363" i="16"/>
  <c r="AJ362" i="16"/>
  <c r="AG362" i="16"/>
  <c r="AG363" i="16" s="1"/>
  <c r="AQ361" i="16"/>
  <c r="AJ361" i="16"/>
  <c r="AF360" i="16"/>
  <c r="AF359" i="16"/>
  <c r="AF358" i="16"/>
  <c r="AF357" i="16"/>
  <c r="AK357" i="16" s="1"/>
  <c r="AF356" i="16"/>
  <c r="AK356" i="16" s="1"/>
  <c r="AF355" i="16"/>
  <c r="AF354" i="16"/>
  <c r="AF353" i="16"/>
  <c r="AK353" i="16" s="1"/>
  <c r="AF352" i="16"/>
  <c r="AK352" i="16" s="1"/>
  <c r="AF351" i="16"/>
  <c r="AK351" i="16" s="1"/>
  <c r="AF350" i="16"/>
  <c r="AF349" i="16"/>
  <c r="AK349" i="16" s="1"/>
  <c r="AF348" i="16"/>
  <c r="AK348" i="16" s="1"/>
  <c r="AF347" i="16"/>
  <c r="AK347" i="16" s="1"/>
  <c r="AF346" i="16"/>
  <c r="AF345" i="16"/>
  <c r="AK345" i="16" s="1"/>
  <c r="AF344" i="16"/>
  <c r="AK344" i="16" s="1"/>
  <c r="AF343" i="16"/>
  <c r="AF342" i="16"/>
  <c r="AF341" i="16"/>
  <c r="AK341" i="16" s="1"/>
  <c r="AF340" i="16"/>
  <c r="AJ340" i="16" s="1"/>
  <c r="AG339" i="16"/>
  <c r="AG340" i="16" s="1"/>
  <c r="AF339" i="16"/>
  <c r="AJ339" i="16" s="1"/>
  <c r="AK338" i="16"/>
  <c r="AJ338" i="16"/>
  <c r="AK337" i="16"/>
  <c r="AJ337" i="16"/>
  <c r="AK336" i="16"/>
  <c r="AJ336" i="16"/>
  <c r="AK335" i="16"/>
  <c r="AJ335" i="16"/>
  <c r="AK334" i="16"/>
  <c r="AJ334" i="16"/>
  <c r="AK333" i="16"/>
  <c r="AJ333" i="16"/>
  <c r="AK332" i="16"/>
  <c r="AJ332" i="16"/>
  <c r="AK331" i="16"/>
  <c r="AJ331" i="16"/>
  <c r="AK330" i="16"/>
  <c r="AJ330" i="16"/>
  <c r="AK329" i="16"/>
  <c r="AJ329" i="16"/>
  <c r="AK328" i="16"/>
  <c r="AJ328" i="16"/>
  <c r="AK327" i="16"/>
  <c r="AJ327" i="16"/>
  <c r="AK326" i="16"/>
  <c r="AJ326" i="16"/>
  <c r="AK325" i="16"/>
  <c r="AJ325" i="16"/>
  <c r="AK324" i="16"/>
  <c r="AJ324" i="16"/>
  <c r="AK323" i="16"/>
  <c r="AJ323" i="16"/>
  <c r="AK322" i="16"/>
  <c r="AJ322" i="16"/>
  <c r="AK321" i="16"/>
  <c r="AJ321" i="16"/>
  <c r="AK320" i="16"/>
  <c r="AJ320" i="16"/>
  <c r="AK319" i="16"/>
  <c r="AJ319" i="16"/>
  <c r="AJ318" i="16"/>
  <c r="AG318" i="16"/>
  <c r="AG319" i="16" s="1"/>
  <c r="AG320" i="16" s="1"/>
  <c r="AQ317" i="16"/>
  <c r="AJ317" i="16"/>
  <c r="AF316" i="16"/>
  <c r="AK316" i="16" s="1"/>
  <c r="AF315" i="16"/>
  <c r="AF314" i="16"/>
  <c r="AJ314" i="16" s="1"/>
  <c r="AF313" i="16"/>
  <c r="AK313" i="16" s="1"/>
  <c r="AF312" i="16"/>
  <c r="AK312" i="16" s="1"/>
  <c r="AF311" i="16"/>
  <c r="AF310" i="16"/>
  <c r="AJ310" i="16" s="1"/>
  <c r="AF309" i="16"/>
  <c r="AK309" i="16" s="1"/>
  <c r="AF308" i="16"/>
  <c r="AK308" i="16" s="1"/>
  <c r="AF307" i="16"/>
  <c r="AF306" i="16"/>
  <c r="AJ306" i="16" s="1"/>
  <c r="AF305" i="16"/>
  <c r="AK305" i="16" s="1"/>
  <c r="AF304" i="16"/>
  <c r="AK304" i="16" s="1"/>
  <c r="AF303" i="16"/>
  <c r="AF302" i="16"/>
  <c r="AJ302" i="16" s="1"/>
  <c r="AF301" i="16"/>
  <c r="AK301" i="16" s="1"/>
  <c r="AF300" i="16"/>
  <c r="AK300" i="16" s="1"/>
  <c r="AF299" i="16"/>
  <c r="AF298" i="16"/>
  <c r="AJ298" i="16" s="1"/>
  <c r="AF297" i="16"/>
  <c r="AK297" i="16" s="1"/>
  <c r="AF296" i="16"/>
  <c r="AG295" i="16"/>
  <c r="AG296" i="16" s="1"/>
  <c r="AG297" i="16" s="1"/>
  <c r="AF295" i="16"/>
  <c r="AK294" i="16"/>
  <c r="AJ294" i="16"/>
  <c r="AK293" i="16"/>
  <c r="AJ293" i="16"/>
  <c r="AK292" i="16"/>
  <c r="AJ292" i="16"/>
  <c r="AK291" i="16"/>
  <c r="AJ291" i="16"/>
  <c r="AK290" i="16"/>
  <c r="AJ290" i="16"/>
  <c r="AK289" i="16"/>
  <c r="AJ289" i="16"/>
  <c r="AK288" i="16"/>
  <c r="AJ288" i="16"/>
  <c r="AK287" i="16"/>
  <c r="AJ287" i="16"/>
  <c r="AK286" i="16"/>
  <c r="AJ286" i="16"/>
  <c r="AK285" i="16"/>
  <c r="AJ285" i="16"/>
  <c r="AK284" i="16"/>
  <c r="AJ284" i="16"/>
  <c r="AK283" i="16"/>
  <c r="AJ283" i="16"/>
  <c r="AK282" i="16"/>
  <c r="AJ282" i="16"/>
  <c r="AK281" i="16"/>
  <c r="AJ281" i="16"/>
  <c r="AK280" i="16"/>
  <c r="AJ280" i="16"/>
  <c r="AK279" i="16"/>
  <c r="AJ279" i="16"/>
  <c r="AK278" i="16"/>
  <c r="AJ278" i="16"/>
  <c r="AK277" i="16"/>
  <c r="AJ277" i="16"/>
  <c r="AK276" i="16"/>
  <c r="AJ276" i="16"/>
  <c r="AK275" i="16"/>
  <c r="AJ275" i="16"/>
  <c r="AJ274" i="16"/>
  <c r="AG274" i="16"/>
  <c r="AQ274" i="16" s="1"/>
  <c r="AQ273" i="16"/>
  <c r="AJ273" i="16"/>
  <c r="AF272" i="16"/>
  <c r="AF271" i="16"/>
  <c r="AF270" i="16"/>
  <c r="AF269" i="16"/>
  <c r="AK269" i="16" s="1"/>
  <c r="AF268" i="16"/>
  <c r="AJ268" i="16" s="1"/>
  <c r="AF267" i="16"/>
  <c r="AF266" i="16"/>
  <c r="AF265" i="16"/>
  <c r="AF264" i="16"/>
  <c r="AJ264" i="16" s="1"/>
  <c r="AF263" i="16"/>
  <c r="AF262" i="16"/>
  <c r="AF261" i="16"/>
  <c r="AF260" i="16"/>
  <c r="AJ260" i="16" s="1"/>
  <c r="AF259" i="16"/>
  <c r="AF258" i="16"/>
  <c r="AF257" i="16"/>
  <c r="AK257" i="16" s="1"/>
  <c r="AF256" i="16"/>
  <c r="AJ256" i="16" s="1"/>
  <c r="AF255" i="16"/>
  <c r="AF254" i="16"/>
  <c r="AF253" i="16"/>
  <c r="AF252" i="16"/>
  <c r="AJ252" i="16" s="1"/>
  <c r="AG251" i="16"/>
  <c r="AG252" i="16" s="1"/>
  <c r="AF251" i="16"/>
  <c r="AK250" i="16"/>
  <c r="AJ250" i="16"/>
  <c r="AK249" i="16"/>
  <c r="AJ249" i="16"/>
  <c r="AK248" i="16"/>
  <c r="AJ248" i="16"/>
  <c r="AK247" i="16"/>
  <c r="AJ247" i="16"/>
  <c r="AK246" i="16"/>
  <c r="AJ246" i="16"/>
  <c r="AK245" i="16"/>
  <c r="AJ245" i="16"/>
  <c r="AK244" i="16"/>
  <c r="AJ244" i="16"/>
  <c r="AK243" i="16"/>
  <c r="AJ243" i="16"/>
  <c r="AK242" i="16"/>
  <c r="AJ242" i="16"/>
  <c r="AK241" i="16"/>
  <c r="AJ241" i="16"/>
  <c r="AK240" i="16"/>
  <c r="AJ240" i="16"/>
  <c r="AK239" i="16"/>
  <c r="AJ239" i="16"/>
  <c r="AK238" i="16"/>
  <c r="AJ238" i="16"/>
  <c r="AK237" i="16"/>
  <c r="AJ237" i="16"/>
  <c r="AK236" i="16"/>
  <c r="AJ236" i="16"/>
  <c r="AK235" i="16"/>
  <c r="AJ235" i="16"/>
  <c r="AK234" i="16"/>
  <c r="AJ234" i="16"/>
  <c r="AK233" i="16"/>
  <c r="AJ233" i="16"/>
  <c r="AK232" i="16"/>
  <c r="AJ232" i="16"/>
  <c r="AK231" i="16"/>
  <c r="AJ231" i="16"/>
  <c r="AJ230" i="16"/>
  <c r="AG230" i="16"/>
  <c r="AG231" i="16" s="1"/>
  <c r="AQ229" i="16"/>
  <c r="AJ229" i="16"/>
  <c r="AF228" i="16"/>
  <c r="AF227" i="16"/>
  <c r="AF226" i="16"/>
  <c r="AF225" i="16"/>
  <c r="AK225" i="16" s="1"/>
  <c r="AF224" i="16"/>
  <c r="AJ224" i="16" s="1"/>
  <c r="AF223" i="16"/>
  <c r="AK223" i="16" s="1"/>
  <c r="AF222" i="16"/>
  <c r="AF221" i="16"/>
  <c r="AK221" i="16" s="1"/>
  <c r="AF220" i="16"/>
  <c r="AK220" i="16" s="1"/>
  <c r="AF219" i="16"/>
  <c r="AF218" i="16"/>
  <c r="AF217" i="16"/>
  <c r="AK217" i="16" s="1"/>
  <c r="AF216" i="16"/>
  <c r="AK216" i="16" s="1"/>
  <c r="AF215" i="16"/>
  <c r="AK215" i="16" s="1"/>
  <c r="AF214" i="16"/>
  <c r="AF213" i="16"/>
  <c r="AK213" i="16" s="1"/>
  <c r="AF212" i="16"/>
  <c r="AF211" i="16"/>
  <c r="AF210" i="16"/>
  <c r="AF209" i="16"/>
  <c r="AK209" i="16" s="1"/>
  <c r="AF208" i="16"/>
  <c r="AJ208" i="16" s="1"/>
  <c r="AG207" i="16"/>
  <c r="AG208" i="16" s="1"/>
  <c r="AF207" i="16"/>
  <c r="AJ207" i="16" s="1"/>
  <c r="AK206" i="16"/>
  <c r="AJ206" i="16"/>
  <c r="AK205" i="16"/>
  <c r="AJ205" i="16"/>
  <c r="AK204" i="16"/>
  <c r="AJ204" i="16"/>
  <c r="AK203" i="16"/>
  <c r="AJ203" i="16"/>
  <c r="AK202" i="16"/>
  <c r="AJ202" i="16"/>
  <c r="AK201" i="16"/>
  <c r="AJ201" i="16"/>
  <c r="AK200" i="16"/>
  <c r="AJ200" i="16"/>
  <c r="AK199" i="16"/>
  <c r="AJ199" i="16"/>
  <c r="AK198" i="16"/>
  <c r="AJ198" i="16"/>
  <c r="AK197" i="16"/>
  <c r="AJ197" i="16"/>
  <c r="AK196" i="16"/>
  <c r="AJ196" i="16"/>
  <c r="AK195" i="16"/>
  <c r="AJ195" i="16"/>
  <c r="AK194" i="16"/>
  <c r="AJ194" i="16"/>
  <c r="AK193" i="16"/>
  <c r="AJ193" i="16"/>
  <c r="AK192" i="16"/>
  <c r="AJ192" i="16"/>
  <c r="AK191" i="16"/>
  <c r="AJ191" i="16"/>
  <c r="AK190" i="16"/>
  <c r="AJ190" i="16"/>
  <c r="AK189" i="16"/>
  <c r="AJ189" i="16"/>
  <c r="AK188" i="16"/>
  <c r="AJ188" i="16"/>
  <c r="AK187" i="16"/>
  <c r="AJ187" i="16"/>
  <c r="AJ186" i="16"/>
  <c r="AG186" i="16"/>
  <c r="AG187" i="16" s="1"/>
  <c r="AG188" i="16" s="1"/>
  <c r="AQ185" i="16"/>
  <c r="AJ185" i="16"/>
  <c r="AF184" i="16"/>
  <c r="AK184" i="16" s="1"/>
  <c r="AF183" i="16"/>
  <c r="AJ183" i="16" s="1"/>
  <c r="AF182" i="16"/>
  <c r="AJ182" i="16" s="1"/>
  <c r="AF181" i="16"/>
  <c r="AF180" i="16"/>
  <c r="AK180" i="16" s="1"/>
  <c r="AF179" i="16"/>
  <c r="AF178" i="16"/>
  <c r="AJ178" i="16" s="1"/>
  <c r="AF177" i="16"/>
  <c r="AF176" i="16"/>
  <c r="AK176" i="16" s="1"/>
  <c r="AF175" i="16"/>
  <c r="AJ175" i="16" s="1"/>
  <c r="AF174" i="16"/>
  <c r="AJ174" i="16" s="1"/>
  <c r="AF173" i="16"/>
  <c r="AF172" i="16"/>
  <c r="AK172" i="16" s="1"/>
  <c r="AF171" i="16"/>
  <c r="AK171" i="16" s="1"/>
  <c r="AF170" i="16"/>
  <c r="AJ170" i="16" s="1"/>
  <c r="AF169" i="16"/>
  <c r="AF168" i="16"/>
  <c r="AK168" i="16" s="1"/>
  <c r="AF167" i="16"/>
  <c r="AF166" i="16"/>
  <c r="AJ166" i="16" s="1"/>
  <c r="AF165" i="16"/>
  <c r="AF164" i="16"/>
  <c r="AG163" i="16"/>
  <c r="AG164" i="16" s="1"/>
  <c r="AG165" i="16" s="1"/>
  <c r="AF163" i="16"/>
  <c r="AK162" i="16"/>
  <c r="AJ162" i="16"/>
  <c r="AK161" i="16"/>
  <c r="AJ161" i="16"/>
  <c r="AK160" i="16"/>
  <c r="AJ160" i="16"/>
  <c r="AK159" i="16"/>
  <c r="AJ159" i="16"/>
  <c r="AK158" i="16"/>
  <c r="AJ158" i="16"/>
  <c r="AK157" i="16"/>
  <c r="AJ157" i="16"/>
  <c r="AK156" i="16"/>
  <c r="AJ156" i="16"/>
  <c r="AK155" i="16"/>
  <c r="AJ155" i="16"/>
  <c r="AK154" i="16"/>
  <c r="AJ154" i="16"/>
  <c r="AK153" i="16"/>
  <c r="AJ153" i="16"/>
  <c r="AK152" i="16"/>
  <c r="AJ152" i="16"/>
  <c r="AK151" i="16"/>
  <c r="AJ151" i="16"/>
  <c r="AK150" i="16"/>
  <c r="AJ150" i="16"/>
  <c r="AK149" i="16"/>
  <c r="AJ149" i="16"/>
  <c r="AK148" i="16"/>
  <c r="AJ148" i="16"/>
  <c r="AK147" i="16"/>
  <c r="AJ147" i="16"/>
  <c r="AK146" i="16"/>
  <c r="AJ146" i="16"/>
  <c r="AK145" i="16"/>
  <c r="AJ145" i="16"/>
  <c r="AK144" i="16"/>
  <c r="AJ144" i="16"/>
  <c r="AK143" i="16"/>
  <c r="AJ143" i="16"/>
  <c r="AJ142" i="16"/>
  <c r="AG142" i="16"/>
  <c r="AG143" i="16" s="1"/>
  <c r="AQ141" i="16"/>
  <c r="AJ141" i="16"/>
  <c r="AF140" i="16"/>
  <c r="AK140" i="16" s="1"/>
  <c r="AF139" i="16"/>
  <c r="AK139" i="16" s="1"/>
  <c r="AF138" i="16"/>
  <c r="AJ138" i="16" s="1"/>
  <c r="AF137" i="16"/>
  <c r="AF136" i="16"/>
  <c r="AK136" i="16" s="1"/>
  <c r="AF135" i="16"/>
  <c r="AF134" i="16"/>
  <c r="AJ134" i="16" s="1"/>
  <c r="AF133" i="16"/>
  <c r="AF132" i="16"/>
  <c r="AK132" i="16" s="1"/>
  <c r="AF131" i="16"/>
  <c r="AF130" i="16"/>
  <c r="AJ130" i="16" s="1"/>
  <c r="AF129" i="16"/>
  <c r="AK129" i="16" s="1"/>
  <c r="AF128" i="16"/>
  <c r="AK128" i="16" s="1"/>
  <c r="AF127" i="16"/>
  <c r="AK127" i="16" s="1"/>
  <c r="AF126" i="16"/>
  <c r="AJ126" i="16" s="1"/>
  <c r="AF125" i="16"/>
  <c r="AF124" i="16"/>
  <c r="AK124" i="16" s="1"/>
  <c r="AF123" i="16"/>
  <c r="AF122" i="16"/>
  <c r="AJ122" i="16" s="1"/>
  <c r="AF121" i="16"/>
  <c r="AF120" i="16"/>
  <c r="AG119" i="16"/>
  <c r="AG120" i="16" s="1"/>
  <c r="AG121" i="16" s="1"/>
  <c r="AF119" i="16"/>
  <c r="AK118" i="16"/>
  <c r="AJ118" i="16"/>
  <c r="AK117" i="16"/>
  <c r="AJ117" i="16"/>
  <c r="AK116" i="16"/>
  <c r="AJ116" i="16"/>
  <c r="AK115" i="16"/>
  <c r="AJ115" i="16"/>
  <c r="AK114" i="16"/>
  <c r="AJ114" i="16"/>
  <c r="AK113" i="16"/>
  <c r="AJ113" i="16"/>
  <c r="AK112" i="16"/>
  <c r="AJ112" i="16"/>
  <c r="AK111" i="16"/>
  <c r="AJ111" i="16"/>
  <c r="AK110" i="16"/>
  <c r="AJ110" i="16"/>
  <c r="AK109" i="16"/>
  <c r="AJ109" i="16"/>
  <c r="AK108" i="16"/>
  <c r="AJ108" i="16"/>
  <c r="AK107" i="16"/>
  <c r="AJ107" i="16"/>
  <c r="AK106" i="16"/>
  <c r="AJ106" i="16"/>
  <c r="AK105" i="16"/>
  <c r="AJ105" i="16"/>
  <c r="AK104" i="16"/>
  <c r="AJ104" i="16"/>
  <c r="AK103" i="16"/>
  <c r="AJ103" i="16"/>
  <c r="AK102" i="16"/>
  <c r="AJ102" i="16"/>
  <c r="AK101" i="16"/>
  <c r="AJ101" i="16"/>
  <c r="AK100" i="16"/>
  <c r="AJ100" i="16"/>
  <c r="AK99" i="16"/>
  <c r="AJ99" i="16"/>
  <c r="AJ98" i="16"/>
  <c r="AG98" i="16"/>
  <c r="AG99" i="16" s="1"/>
  <c r="AQ97" i="16"/>
  <c r="AJ97" i="16"/>
  <c r="AD53" i="16"/>
  <c r="AE53" i="16" s="1" a="1"/>
  <c r="AE53" i="16" s="1"/>
  <c r="AF96" i="16"/>
  <c r="AK96" i="16" s="1"/>
  <c r="AF95" i="16"/>
  <c r="AK95" i="16" s="1"/>
  <c r="AF94" i="16"/>
  <c r="AJ94" i="16" s="1"/>
  <c r="AF93" i="16"/>
  <c r="AF92" i="16"/>
  <c r="AF91" i="16"/>
  <c r="AF90" i="16"/>
  <c r="AF89" i="16"/>
  <c r="AF88" i="16"/>
  <c r="AF87" i="16"/>
  <c r="AK87" i="16" s="1"/>
  <c r="AF86" i="16"/>
  <c r="AJ86" i="16" s="1"/>
  <c r="AF85" i="16"/>
  <c r="AF84" i="16"/>
  <c r="AK84" i="16" s="1"/>
  <c r="AF83" i="16"/>
  <c r="AJ83" i="16" s="1"/>
  <c r="AF82" i="16"/>
  <c r="AF81" i="16"/>
  <c r="AF80" i="16"/>
  <c r="AF79" i="16"/>
  <c r="AF78" i="16"/>
  <c r="AF77" i="16"/>
  <c r="AF76" i="16"/>
  <c r="AG75" i="16"/>
  <c r="AG76" i="16" s="1"/>
  <c r="AF75" i="16"/>
  <c r="AK74" i="16"/>
  <c r="AJ74" i="16"/>
  <c r="AK73" i="16"/>
  <c r="AJ73" i="16"/>
  <c r="AK72" i="16"/>
  <c r="AJ72" i="16"/>
  <c r="AK71" i="16"/>
  <c r="AJ71" i="16"/>
  <c r="AK70" i="16"/>
  <c r="AJ70" i="16"/>
  <c r="AK69" i="16"/>
  <c r="AJ69" i="16"/>
  <c r="AK68" i="16"/>
  <c r="AJ68" i="16"/>
  <c r="AK67" i="16"/>
  <c r="AJ67" i="16"/>
  <c r="AK66" i="16"/>
  <c r="AJ66" i="16"/>
  <c r="AK65" i="16"/>
  <c r="AJ65" i="16"/>
  <c r="AK64" i="16"/>
  <c r="AJ64" i="16"/>
  <c r="AK63" i="16"/>
  <c r="AJ63" i="16"/>
  <c r="AK62" i="16"/>
  <c r="AJ62" i="16"/>
  <c r="AK61" i="16"/>
  <c r="AJ61" i="16"/>
  <c r="AK60" i="16"/>
  <c r="AJ60" i="16"/>
  <c r="AK59" i="16"/>
  <c r="AJ59" i="16"/>
  <c r="AK58" i="16"/>
  <c r="AJ58" i="16"/>
  <c r="AK57" i="16"/>
  <c r="AJ57" i="16"/>
  <c r="AK56" i="16"/>
  <c r="AJ56" i="16"/>
  <c r="AK55" i="16"/>
  <c r="AJ55" i="16"/>
  <c r="AJ54" i="16"/>
  <c r="AG54" i="16"/>
  <c r="AQ54" i="16" s="1"/>
  <c r="AQ53" i="16"/>
  <c r="AJ53" i="16"/>
  <c r="AF51" i="16"/>
  <c r="AF52" i="16"/>
  <c r="AJ29" i="16"/>
  <c r="AK29" i="16"/>
  <c r="AJ30" i="16"/>
  <c r="AK30" i="16"/>
  <c r="G31" i="16"/>
  <c r="H31" i="16"/>
  <c r="I31" i="16"/>
  <c r="J31" i="16"/>
  <c r="K31" i="16"/>
  <c r="M31" i="16"/>
  <c r="N31" i="16"/>
  <c r="O31" i="16"/>
  <c r="P31" i="16"/>
  <c r="Q31" i="16"/>
  <c r="F31" i="16"/>
  <c r="D32" i="3" a="1"/>
  <c r="D26" i="3" a="1"/>
  <c r="AE54" i="16" l="1"/>
  <c r="AI54" i="16" s="1"/>
  <c r="AI53" i="16"/>
  <c r="D26" i="3"/>
  <c r="AH54" i="16"/>
  <c r="AH53" i="16"/>
  <c r="AQ561" i="16"/>
  <c r="AQ560" i="16"/>
  <c r="AQ562" i="16"/>
  <c r="GD11" i="16" a="1"/>
  <c r="GD11" i="16" s="1"/>
  <c r="GT11" i="16" s="1" a="1"/>
  <c r="GT11" i="16" s="1"/>
  <c r="GU11" i="16" s="1" a="1"/>
  <c r="GU11" i="16" s="1"/>
  <c r="GW11" i="16" s="1" a="1"/>
  <c r="GW11" i="16" s="1"/>
  <c r="H13" i="12"/>
  <c r="I13" i="12"/>
  <c r="D32" i="3"/>
  <c r="AJ82" i="16"/>
  <c r="AK92" i="16"/>
  <c r="AQ186" i="16"/>
  <c r="AK261" i="16"/>
  <c r="AK212" i="16"/>
  <c r="AJ355" i="16"/>
  <c r="AK432" i="16"/>
  <c r="AJ447" i="16"/>
  <c r="AK475" i="16"/>
  <c r="AJ220" i="16"/>
  <c r="AQ75" i="16"/>
  <c r="AK175" i="16"/>
  <c r="AJ356" i="16"/>
  <c r="AK440" i="16"/>
  <c r="AQ318" i="16"/>
  <c r="AK431" i="16"/>
  <c r="AK447" i="16"/>
  <c r="AJ79" i="16"/>
  <c r="AJ301" i="16"/>
  <c r="AJ347" i="16"/>
  <c r="AJ475" i="16"/>
  <c r="AK79" i="16"/>
  <c r="AK123" i="16"/>
  <c r="AJ527" i="16"/>
  <c r="AK527" i="16"/>
  <c r="AK80" i="16"/>
  <c r="AK355" i="16"/>
  <c r="AJ483" i="16"/>
  <c r="AK83" i="16"/>
  <c r="AJ167" i="16"/>
  <c r="AQ296" i="16"/>
  <c r="AJ305" i="16"/>
  <c r="AJ531" i="16"/>
  <c r="AG55" i="16"/>
  <c r="AG56" i="16" s="1"/>
  <c r="AK137" i="16"/>
  <c r="AQ163" i="16"/>
  <c r="AJ179" i="16"/>
  <c r="AK224" i="16"/>
  <c r="AJ297" i="16"/>
  <c r="AJ397" i="16"/>
  <c r="AJ491" i="16"/>
  <c r="AQ516" i="16"/>
  <c r="AJ524" i="16"/>
  <c r="AJ528" i="16"/>
  <c r="AK121" i="16"/>
  <c r="AK179" i="16"/>
  <c r="AJ215" i="16"/>
  <c r="AK259" i="16"/>
  <c r="AJ348" i="16"/>
  <c r="AQ362" i="16"/>
  <c r="AJ430" i="16"/>
  <c r="AK491" i="16"/>
  <c r="AG407" i="16"/>
  <c r="AQ407" i="16" s="1"/>
  <c r="AQ471" i="16"/>
  <c r="AJ78" i="16"/>
  <c r="AK211" i="16"/>
  <c r="AJ385" i="16"/>
  <c r="AJ389" i="16"/>
  <c r="AJ394" i="16"/>
  <c r="AJ439" i="16"/>
  <c r="AK448" i="16"/>
  <c r="AK439" i="16"/>
  <c r="AK483" i="16"/>
  <c r="AJ492" i="16"/>
  <c r="AG517" i="16"/>
  <c r="AG518" i="16" s="1"/>
  <c r="AG519" i="16" s="1"/>
  <c r="AG520" i="16" s="1"/>
  <c r="AJ212" i="16"/>
  <c r="AJ227" i="16"/>
  <c r="AK492" i="16"/>
  <c r="AK131" i="16"/>
  <c r="AJ219" i="16"/>
  <c r="AJ228" i="16"/>
  <c r="AK263" i="16"/>
  <c r="AK88" i="16"/>
  <c r="AK91" i="16"/>
  <c r="AD97" i="16"/>
  <c r="AK125" i="16"/>
  <c r="AK183" i="16"/>
  <c r="AK219" i="16"/>
  <c r="AK228" i="16"/>
  <c r="AK253" i="16"/>
  <c r="AK267" i="16"/>
  <c r="AQ339" i="16"/>
  <c r="AJ343" i="16"/>
  <c r="AJ352" i="16"/>
  <c r="AJ359" i="16"/>
  <c r="AK399" i="16"/>
  <c r="AQ427" i="16"/>
  <c r="AK436" i="16"/>
  <c r="AJ443" i="16"/>
  <c r="AJ479" i="16"/>
  <c r="AQ515" i="16"/>
  <c r="AJ520" i="16"/>
  <c r="AK523" i="16"/>
  <c r="AJ535" i="16"/>
  <c r="AJ91" i="16"/>
  <c r="AJ253" i="16"/>
  <c r="AJ523" i="16"/>
  <c r="AJ95" i="16"/>
  <c r="AK135" i="16"/>
  <c r="AQ142" i="16"/>
  <c r="AJ163" i="16"/>
  <c r="AQ207" i="16"/>
  <c r="AJ216" i="16"/>
  <c r="AJ223" i="16"/>
  <c r="AJ257" i="16"/>
  <c r="AK271" i="16"/>
  <c r="AK343" i="16"/>
  <c r="AK359" i="16"/>
  <c r="AJ393" i="16"/>
  <c r="AQ428" i="16"/>
  <c r="AK443" i="16"/>
  <c r="AK479" i="16"/>
  <c r="AJ532" i="16"/>
  <c r="AK535" i="16"/>
  <c r="AJ75" i="16"/>
  <c r="AQ98" i="16"/>
  <c r="AJ211" i="16"/>
  <c r="AQ230" i="16"/>
  <c r="AJ87" i="16"/>
  <c r="AJ90" i="16"/>
  <c r="AK133" i="16"/>
  <c r="AK167" i="16"/>
  <c r="AJ171" i="16"/>
  <c r="AK227" i="16"/>
  <c r="AK255" i="16"/>
  <c r="AK265" i="16"/>
  <c r="AJ272" i="16"/>
  <c r="AJ344" i="16"/>
  <c r="AJ351" i="16"/>
  <c r="AJ360" i="16"/>
  <c r="AK391" i="16"/>
  <c r="AJ435" i="16"/>
  <c r="AK444" i="16"/>
  <c r="AG451" i="16"/>
  <c r="AQ451" i="16" s="1"/>
  <c r="AJ487" i="16"/>
  <c r="AJ519" i="16"/>
  <c r="AJ536" i="16"/>
  <c r="AQ164" i="16"/>
  <c r="AK360" i="16"/>
  <c r="AJ401" i="16"/>
  <c r="AK536" i="16"/>
  <c r="AG495" i="16"/>
  <c r="AJ518" i="16"/>
  <c r="AJ522" i="16"/>
  <c r="AJ526" i="16"/>
  <c r="AJ530" i="16"/>
  <c r="AJ534" i="16"/>
  <c r="AJ517" i="16"/>
  <c r="AJ521" i="16"/>
  <c r="AJ525" i="16"/>
  <c r="AJ529" i="16"/>
  <c r="AJ533" i="16"/>
  <c r="AQ472" i="16"/>
  <c r="AG473" i="16"/>
  <c r="AK474" i="16"/>
  <c r="AK478" i="16"/>
  <c r="AK482" i="16"/>
  <c r="AK486" i="16"/>
  <c r="AK490" i="16"/>
  <c r="AJ473" i="16"/>
  <c r="AJ477" i="16"/>
  <c r="AJ481" i="16"/>
  <c r="AJ485" i="16"/>
  <c r="AJ489" i="16"/>
  <c r="AJ472" i="16"/>
  <c r="AJ476" i="16"/>
  <c r="AJ480" i="16"/>
  <c r="AJ484" i="16"/>
  <c r="AJ488" i="16"/>
  <c r="AG429" i="16"/>
  <c r="AG430" i="16" s="1"/>
  <c r="AK433" i="16"/>
  <c r="AJ433" i="16"/>
  <c r="AK429" i="16"/>
  <c r="AJ429" i="16"/>
  <c r="AK437" i="16"/>
  <c r="AJ437" i="16"/>
  <c r="AK430" i="16"/>
  <c r="AK434" i="16"/>
  <c r="AK438" i="16"/>
  <c r="AK442" i="16"/>
  <c r="AK446" i="16"/>
  <c r="AJ441" i="16"/>
  <c r="AJ445" i="16"/>
  <c r="AK441" i="16"/>
  <c r="AK445" i="16"/>
  <c r="AJ428" i="16"/>
  <c r="AJ432" i="16"/>
  <c r="AJ436" i="16"/>
  <c r="AJ440" i="16"/>
  <c r="AJ444" i="16"/>
  <c r="AJ448" i="16"/>
  <c r="AG385" i="16"/>
  <c r="AG364" i="16"/>
  <c r="AQ363" i="16"/>
  <c r="AQ384" i="16"/>
  <c r="AJ383" i="16"/>
  <c r="AQ383" i="16"/>
  <c r="AJ387" i="16"/>
  <c r="AJ391" i="16"/>
  <c r="AJ395" i="16"/>
  <c r="AJ399" i="16"/>
  <c r="AJ403" i="16"/>
  <c r="AK386" i="16"/>
  <c r="AK390" i="16"/>
  <c r="AK394" i="16"/>
  <c r="AK398" i="16"/>
  <c r="AK402" i="16"/>
  <c r="AK393" i="16"/>
  <c r="AK397" i="16"/>
  <c r="AK401" i="16"/>
  <c r="AJ384" i="16"/>
  <c r="AJ388" i="16"/>
  <c r="AJ392" i="16"/>
  <c r="AJ396" i="16"/>
  <c r="AJ400" i="16"/>
  <c r="AJ404" i="16"/>
  <c r="AQ340" i="16"/>
  <c r="AG341" i="16"/>
  <c r="AQ341" i="16" s="1"/>
  <c r="AG321" i="16"/>
  <c r="AQ320" i="16"/>
  <c r="AJ342" i="16"/>
  <c r="AJ346" i="16"/>
  <c r="AJ350" i="16"/>
  <c r="AJ354" i="16"/>
  <c r="AJ358" i="16"/>
  <c r="AQ319" i="16"/>
  <c r="AK342" i="16"/>
  <c r="AK346" i="16"/>
  <c r="AK350" i="16"/>
  <c r="AK354" i="16"/>
  <c r="AK358" i="16"/>
  <c r="AJ341" i="16"/>
  <c r="AJ345" i="16"/>
  <c r="AJ349" i="16"/>
  <c r="AJ353" i="16"/>
  <c r="AJ357" i="16"/>
  <c r="AQ297" i="16"/>
  <c r="AG298" i="16"/>
  <c r="AG275" i="16"/>
  <c r="AJ295" i="16"/>
  <c r="AQ295" i="16"/>
  <c r="AJ299" i="16"/>
  <c r="AJ303" i="16"/>
  <c r="AJ307" i="16"/>
  <c r="AJ311" i="16"/>
  <c r="AJ315" i="16"/>
  <c r="AK299" i="16"/>
  <c r="AK303" i="16"/>
  <c r="AK307" i="16"/>
  <c r="AK311" i="16"/>
  <c r="AK315" i="16"/>
  <c r="AK298" i="16"/>
  <c r="AK302" i="16"/>
  <c r="AK306" i="16"/>
  <c r="AK310" i="16"/>
  <c r="AK314" i="16"/>
  <c r="AJ309" i="16"/>
  <c r="AJ313" i="16"/>
  <c r="AJ296" i="16"/>
  <c r="AJ300" i="16"/>
  <c r="AJ304" i="16"/>
  <c r="AJ308" i="16"/>
  <c r="AJ312" i="16"/>
  <c r="AJ316" i="16"/>
  <c r="AG232" i="16"/>
  <c r="AQ231" i="16"/>
  <c r="AQ252" i="16"/>
  <c r="AG253" i="16"/>
  <c r="AK256" i="16"/>
  <c r="AK260" i="16"/>
  <c r="AK264" i="16"/>
  <c r="AK268" i="16"/>
  <c r="AK272" i="16"/>
  <c r="AJ251" i="16"/>
  <c r="AQ251" i="16"/>
  <c r="AJ255" i="16"/>
  <c r="AJ259" i="16"/>
  <c r="AJ263" i="16"/>
  <c r="AJ267" i="16"/>
  <c r="AJ271" i="16"/>
  <c r="AJ254" i="16"/>
  <c r="AJ258" i="16"/>
  <c r="AJ262" i="16"/>
  <c r="AJ266" i="16"/>
  <c r="AJ270" i="16"/>
  <c r="AK254" i="16"/>
  <c r="AK258" i="16"/>
  <c r="AK262" i="16"/>
  <c r="AK266" i="16"/>
  <c r="AK270" i="16"/>
  <c r="AJ261" i="16"/>
  <c r="AJ265" i="16"/>
  <c r="AJ269" i="16"/>
  <c r="AQ208" i="16"/>
  <c r="AG209" i="16"/>
  <c r="AQ209" i="16" s="1"/>
  <c r="AG189" i="16"/>
  <c r="AQ188" i="16"/>
  <c r="AJ210" i="16"/>
  <c r="AJ214" i="16"/>
  <c r="AJ218" i="16"/>
  <c r="AJ222" i="16"/>
  <c r="AJ226" i="16"/>
  <c r="AQ187" i="16"/>
  <c r="AK210" i="16"/>
  <c r="AK214" i="16"/>
  <c r="AK218" i="16"/>
  <c r="AK222" i="16"/>
  <c r="AK226" i="16"/>
  <c r="AJ209" i="16"/>
  <c r="AJ213" i="16"/>
  <c r="AJ217" i="16"/>
  <c r="AJ221" i="16"/>
  <c r="AJ225" i="16"/>
  <c r="AG166" i="16"/>
  <c r="AQ143" i="16"/>
  <c r="AK166" i="16"/>
  <c r="AK170" i="16"/>
  <c r="AK174" i="16"/>
  <c r="AK178" i="16"/>
  <c r="AK182" i="16"/>
  <c r="AJ165" i="16"/>
  <c r="AQ165" i="16"/>
  <c r="AJ169" i="16"/>
  <c r="AJ173" i="16"/>
  <c r="AJ177" i="16"/>
  <c r="AJ181" i="16"/>
  <c r="AG144" i="16"/>
  <c r="AK165" i="16"/>
  <c r="AK169" i="16"/>
  <c r="AK173" i="16"/>
  <c r="AK177" i="16"/>
  <c r="AK181" i="16"/>
  <c r="AJ164" i="16"/>
  <c r="AJ168" i="16"/>
  <c r="AJ172" i="16"/>
  <c r="AJ176" i="16"/>
  <c r="AJ180" i="16"/>
  <c r="AJ184" i="16"/>
  <c r="AG100" i="16"/>
  <c r="AQ99" i="16"/>
  <c r="AG122" i="16"/>
  <c r="AQ120" i="16"/>
  <c r="AQ121" i="16"/>
  <c r="AJ119" i="16"/>
  <c r="AQ119" i="16"/>
  <c r="AJ123" i="16"/>
  <c r="AJ127" i="16"/>
  <c r="AJ131" i="16"/>
  <c r="AJ135" i="16"/>
  <c r="AJ139" i="16"/>
  <c r="AK122" i="16"/>
  <c r="AK126" i="16"/>
  <c r="AK130" i="16"/>
  <c r="AK134" i="16"/>
  <c r="AK138" i="16"/>
  <c r="AJ121" i="16"/>
  <c r="AJ125" i="16"/>
  <c r="AJ129" i="16"/>
  <c r="AJ133" i="16"/>
  <c r="AJ137" i="16"/>
  <c r="AJ120" i="16"/>
  <c r="AJ124" i="16"/>
  <c r="AJ128" i="16"/>
  <c r="AJ132" i="16"/>
  <c r="AJ136" i="16"/>
  <c r="AJ140" i="16"/>
  <c r="AP53" i="16"/>
  <c r="AP54" i="16"/>
  <c r="AK77" i="16"/>
  <c r="AJ77" i="16"/>
  <c r="AK85" i="16"/>
  <c r="AJ85" i="16"/>
  <c r="AQ76" i="16"/>
  <c r="AK93" i="16"/>
  <c r="AJ93" i="16"/>
  <c r="AK89" i="16"/>
  <c r="AJ89" i="16"/>
  <c r="AG77" i="16"/>
  <c r="AG78" i="16" s="1"/>
  <c r="AK81" i="16"/>
  <c r="AJ81" i="16"/>
  <c r="AE55" i="16"/>
  <c r="AK78" i="16"/>
  <c r="AK82" i="16"/>
  <c r="AK86" i="16"/>
  <c r="AK90" i="16"/>
  <c r="AK94" i="16"/>
  <c r="AJ76" i="16"/>
  <c r="AJ80" i="16"/>
  <c r="AJ84" i="16"/>
  <c r="AJ88" i="16"/>
  <c r="AJ92" i="16"/>
  <c r="AJ96" i="16"/>
  <c r="AJ51" i="16"/>
  <c r="AK51" i="16"/>
  <c r="AJ52" i="16"/>
  <c r="AK52" i="16"/>
  <c r="L31" i="16"/>
  <c r="AH55" i="16" l="1"/>
  <c r="AI55" i="16"/>
  <c r="AG408" i="16"/>
  <c r="AQ408" i="16" s="1"/>
  <c r="AQ55" i="16"/>
  <c r="AQ519" i="16"/>
  <c r="AQ518" i="16"/>
  <c r="AG452" i="16"/>
  <c r="AQ452" i="16" s="1"/>
  <c r="AQ517" i="16"/>
  <c r="AQ429" i="16"/>
  <c r="AQ77" i="16"/>
  <c r="AD141" i="16"/>
  <c r="AE97" i="16" a="1"/>
  <c r="AE97" i="16" s="1"/>
  <c r="AN54" i="16"/>
  <c r="AQ520" i="16"/>
  <c r="AG521" i="16"/>
  <c r="AG496" i="16"/>
  <c r="AQ495" i="16"/>
  <c r="AG474" i="16"/>
  <c r="AQ473" i="16"/>
  <c r="AG431" i="16"/>
  <c r="AQ430" i="16"/>
  <c r="AG365" i="16"/>
  <c r="AQ364" i="16"/>
  <c r="AQ385" i="16"/>
  <c r="AG386" i="16"/>
  <c r="AQ321" i="16"/>
  <c r="AG322" i="16"/>
  <c r="AG342" i="16"/>
  <c r="AG276" i="16"/>
  <c r="AQ275" i="16"/>
  <c r="AG299" i="16"/>
  <c r="AQ298" i="16"/>
  <c r="AQ253" i="16"/>
  <c r="AG254" i="16"/>
  <c r="AG233" i="16"/>
  <c r="AQ232" i="16"/>
  <c r="AQ189" i="16"/>
  <c r="AG190" i="16"/>
  <c r="AG210" i="16"/>
  <c r="AG145" i="16"/>
  <c r="AQ144" i="16"/>
  <c r="AG167" i="16"/>
  <c r="AQ166" i="16"/>
  <c r="AG123" i="16"/>
  <c r="AQ122" i="16"/>
  <c r="AG101" i="16"/>
  <c r="AQ100" i="16"/>
  <c r="AP55" i="16"/>
  <c r="AE56" i="16"/>
  <c r="AG57" i="16"/>
  <c r="AQ56" i="16"/>
  <c r="AG79" i="16"/>
  <c r="AQ78" i="16"/>
  <c r="AN53" i="16"/>
  <c r="Y11" i="16"/>
  <c r="Y10" i="16"/>
  <c r="I18" i="12" s="1"/>
  <c r="FN8" i="16"/>
  <c r="EB8" i="16"/>
  <c r="AQ9" i="16"/>
  <c r="AH97" i="16" l="1"/>
  <c r="AI97" i="16"/>
  <c r="AH56" i="16"/>
  <c r="AI56" i="16"/>
  <c r="AG409" i="16"/>
  <c r="AQ409" i="16" s="1"/>
  <c r="AG453" i="16"/>
  <c r="AQ453" i="16" s="1"/>
  <c r="AQ563" i="16"/>
  <c r="AK494" i="16"/>
  <c r="AK362" i="16"/>
  <c r="AK340" i="16"/>
  <c r="AK318" i="16"/>
  <c r="AK164" i="16"/>
  <c r="AK406" i="16"/>
  <c r="AK274" i="16"/>
  <c r="AK186" i="16"/>
  <c r="AK428" i="16"/>
  <c r="AK450" i="16"/>
  <c r="AK230" i="16"/>
  <c r="AK54" i="16"/>
  <c r="AK98" i="16"/>
  <c r="AK142" i="16"/>
  <c r="AK516" i="16"/>
  <c r="AK208" i="16"/>
  <c r="AK384" i="16"/>
  <c r="AK120" i="16"/>
  <c r="AK76" i="16"/>
  <c r="AK472" i="16"/>
  <c r="AK296" i="16"/>
  <c r="AK252" i="16"/>
  <c r="AE98" i="16"/>
  <c r="AP97" i="16"/>
  <c r="AK75" i="16"/>
  <c r="AK383" i="16"/>
  <c r="AK339" i="16"/>
  <c r="AK449" i="16"/>
  <c r="AK229" i="16"/>
  <c r="AK53" i="16"/>
  <c r="AK97" i="16"/>
  <c r="AK251" i="16"/>
  <c r="AK141" i="16"/>
  <c r="AK427" i="16"/>
  <c r="AK405" i="16"/>
  <c r="AK207" i="16"/>
  <c r="AK185" i="16"/>
  <c r="AK515" i="16"/>
  <c r="AK317" i="16"/>
  <c r="AK493" i="16"/>
  <c r="AK361" i="16"/>
  <c r="AK273" i="16"/>
  <c r="AK295" i="16"/>
  <c r="AK163" i="16"/>
  <c r="AK471" i="16"/>
  <c r="AK119" i="16"/>
  <c r="AD185" i="16"/>
  <c r="AE141" i="16" a="1"/>
  <c r="AE141" i="16" s="1"/>
  <c r="AN55" i="16"/>
  <c r="AG497" i="16"/>
  <c r="AQ496" i="16"/>
  <c r="AG522" i="16"/>
  <c r="AQ521" i="16"/>
  <c r="AG475" i="16"/>
  <c r="AQ474" i="16"/>
  <c r="AG432" i="16"/>
  <c r="AQ431" i="16"/>
  <c r="AG387" i="16"/>
  <c r="AQ386" i="16"/>
  <c r="AQ365" i="16"/>
  <c r="AG366" i="16"/>
  <c r="AG343" i="16"/>
  <c r="AQ342" i="16"/>
  <c r="AG323" i="16"/>
  <c r="AQ322" i="16"/>
  <c r="AG300" i="16"/>
  <c r="AQ299" i="16"/>
  <c r="AG277" i="16"/>
  <c r="AQ276" i="16"/>
  <c r="AG255" i="16"/>
  <c r="AQ254" i="16"/>
  <c r="AQ233" i="16"/>
  <c r="AG234" i="16"/>
  <c r="AG211" i="16"/>
  <c r="AQ210" i="16"/>
  <c r="AG191" i="16"/>
  <c r="AQ190" i="16"/>
  <c r="AG168" i="16"/>
  <c r="AQ167" i="16"/>
  <c r="AQ145" i="16"/>
  <c r="AG146" i="16"/>
  <c r="AQ101" i="16"/>
  <c r="AG102" i="16"/>
  <c r="AG124" i="16"/>
  <c r="AQ123" i="16"/>
  <c r="AQ57" i="16"/>
  <c r="AG58" i="16"/>
  <c r="AE57" i="16"/>
  <c r="AP56" i="16"/>
  <c r="AG80" i="16"/>
  <c r="AQ79" i="16"/>
  <c r="AK15" i="16"/>
  <c r="AK16" i="16"/>
  <c r="AK17" i="16"/>
  <c r="AK18" i="16"/>
  <c r="AK19" i="16"/>
  <c r="AK20" i="16"/>
  <c r="AK21" i="16"/>
  <c r="AK22" i="16"/>
  <c r="AK23" i="16"/>
  <c r="AK24" i="16"/>
  <c r="AK25" i="16"/>
  <c r="AK26" i="16"/>
  <c r="AK27" i="16"/>
  <c r="AK28" i="16"/>
  <c r="AK11" i="16"/>
  <c r="AK12" i="16"/>
  <c r="AK13" i="16"/>
  <c r="AK14" i="16"/>
  <c r="AE9" i="16" a="1"/>
  <c r="AE9" i="16" s="1"/>
  <c r="AF50" i="16"/>
  <c r="AF49" i="16"/>
  <c r="AF48" i="16"/>
  <c r="AF47" i="16"/>
  <c r="AF46" i="16"/>
  <c r="AF45" i="16"/>
  <c r="AF44" i="16"/>
  <c r="AF43" i="16"/>
  <c r="AF42" i="16"/>
  <c r="AF41" i="16"/>
  <c r="AF40" i="16"/>
  <c r="AF39" i="16"/>
  <c r="AF38" i="16"/>
  <c r="AF37" i="16"/>
  <c r="AF36" i="16"/>
  <c r="AF35" i="16"/>
  <c r="AF34" i="16"/>
  <c r="AF33" i="16"/>
  <c r="AF32" i="16"/>
  <c r="AF31" i="16"/>
  <c r="AG10" i="16"/>
  <c r="AQ10" i="16" s="1"/>
  <c r="AG31" i="16"/>
  <c r="AG32" i="16" s="1"/>
  <c r="AG33" i="16" s="1"/>
  <c r="AG34" i="16" s="1"/>
  <c r="AG35" i="16" s="1"/>
  <c r="AG36" i="16" s="1"/>
  <c r="AG37" i="16" s="1"/>
  <c r="AG38" i="16" s="1"/>
  <c r="AG39" i="16" s="1"/>
  <c r="AG40" i="16" s="1"/>
  <c r="AG41" i="16" s="1"/>
  <c r="AG42" i="16" s="1"/>
  <c r="AG43" i="16" s="1"/>
  <c r="AG44" i="16" s="1"/>
  <c r="AG45" i="16" s="1"/>
  <c r="AG46" i="16" s="1"/>
  <c r="AG47" i="16" s="1"/>
  <c r="AG48" i="16" s="1"/>
  <c r="AG49" i="16" s="1"/>
  <c r="AG50" i="16" s="1"/>
  <c r="AG51" i="16" s="1"/>
  <c r="AH57" i="16" l="1"/>
  <c r="AI57" i="16"/>
  <c r="AH98" i="16"/>
  <c r="AI98" i="16"/>
  <c r="AH9" i="16"/>
  <c r="AI9" i="16"/>
  <c r="AH141" i="16"/>
  <c r="AI141" i="16"/>
  <c r="AG410" i="16"/>
  <c r="AQ410" i="16" s="1"/>
  <c r="AG454" i="16"/>
  <c r="AG455" i="16" s="1"/>
  <c r="AQ564" i="16"/>
  <c r="AE185" i="16" a="1"/>
  <c r="AE185" i="16" s="1"/>
  <c r="AD229" i="16"/>
  <c r="AN97" i="16"/>
  <c r="AP141" i="16"/>
  <c r="AE142" i="16"/>
  <c r="AP98" i="16"/>
  <c r="AE99" i="16"/>
  <c r="AG523" i="16"/>
  <c r="AQ522" i="16"/>
  <c r="AQ497" i="16"/>
  <c r="AG498" i="16"/>
  <c r="AG476" i="16"/>
  <c r="AQ475" i="16"/>
  <c r="AG433" i="16"/>
  <c r="AQ432" i="16"/>
  <c r="AG388" i="16"/>
  <c r="AQ387" i="16"/>
  <c r="AG367" i="16"/>
  <c r="AQ366" i="16"/>
  <c r="AG344" i="16"/>
  <c r="AQ343" i="16"/>
  <c r="AG324" i="16"/>
  <c r="AQ323" i="16"/>
  <c r="AQ277" i="16"/>
  <c r="AG278" i="16"/>
  <c r="AG301" i="16"/>
  <c r="AQ300" i="16"/>
  <c r="AG256" i="16"/>
  <c r="AQ255" i="16"/>
  <c r="AG235" i="16"/>
  <c r="AQ234" i="16"/>
  <c r="AG192" i="16"/>
  <c r="AQ191" i="16"/>
  <c r="AG212" i="16"/>
  <c r="AQ211" i="16"/>
  <c r="AG169" i="16"/>
  <c r="AQ168" i="16"/>
  <c r="AG147" i="16"/>
  <c r="AQ146" i="16"/>
  <c r="AG125" i="16"/>
  <c r="AQ124" i="16"/>
  <c r="AG103" i="16"/>
  <c r="AQ102" i="16"/>
  <c r="AE58" i="16"/>
  <c r="AP57" i="16"/>
  <c r="AN56" i="16"/>
  <c r="AG81" i="16"/>
  <c r="AQ80" i="16"/>
  <c r="AG59" i="16"/>
  <c r="AQ58" i="16"/>
  <c r="AG52" i="16"/>
  <c r="AQ51" i="16"/>
  <c r="AP9" i="16"/>
  <c r="AQ32" i="16"/>
  <c r="AQ48" i="16"/>
  <c r="AQ40" i="16"/>
  <c r="AQ34" i="16"/>
  <c r="AQ42" i="16"/>
  <c r="AQ35" i="16"/>
  <c r="AQ43" i="16"/>
  <c r="AQ50" i="16"/>
  <c r="AQ33" i="16"/>
  <c r="AQ41" i="16"/>
  <c r="AQ49" i="16"/>
  <c r="AQ36" i="16"/>
  <c r="AQ44" i="16"/>
  <c r="AQ37" i="16"/>
  <c r="AQ45" i="16"/>
  <c r="AQ38" i="16"/>
  <c r="AQ46" i="16"/>
  <c r="AQ31" i="16"/>
  <c r="AQ39" i="16"/>
  <c r="AQ47" i="16"/>
  <c r="AG11" i="16"/>
  <c r="AK9" i="16"/>
  <c r="AK47" i="16"/>
  <c r="AK43" i="16"/>
  <c r="AK36" i="16"/>
  <c r="AK44" i="16"/>
  <c r="AE10" i="16"/>
  <c r="AK37" i="16"/>
  <c r="AK45" i="16"/>
  <c r="AJ31" i="16"/>
  <c r="AK31" i="16"/>
  <c r="AK10" i="16"/>
  <c r="AK32" i="16"/>
  <c r="AJ32" i="16"/>
  <c r="AK40" i="16"/>
  <c r="AK48" i="16"/>
  <c r="AJ9" i="16"/>
  <c r="AK46" i="16"/>
  <c r="AK39" i="16"/>
  <c r="AK33" i="16"/>
  <c r="AK41" i="16"/>
  <c r="AK49" i="16"/>
  <c r="AJ10" i="16"/>
  <c r="AK38" i="16"/>
  <c r="AK34" i="16"/>
  <c r="AK42" i="16"/>
  <c r="AK50" i="16"/>
  <c r="AK35" i="16"/>
  <c r="AH142" i="16" l="1"/>
  <c r="AI142" i="16"/>
  <c r="AH58" i="16"/>
  <c r="AI58" i="16"/>
  <c r="AH10" i="16"/>
  <c r="AI10" i="16"/>
  <c r="AH99" i="16"/>
  <c r="AI99" i="16"/>
  <c r="AH185" i="16"/>
  <c r="AI185" i="16"/>
  <c r="AG411" i="16"/>
  <c r="AG412" i="16" s="1"/>
  <c r="AQ454" i="16"/>
  <c r="AQ565" i="16"/>
  <c r="AN57" i="16"/>
  <c r="AN141" i="16"/>
  <c r="AN98" i="16"/>
  <c r="AP142" i="16"/>
  <c r="AE143" i="16"/>
  <c r="AE100" i="16"/>
  <c r="AP99" i="16"/>
  <c r="AD273" i="16"/>
  <c r="AE229" i="16" a="1"/>
  <c r="AE229" i="16" s="1"/>
  <c r="AP185" i="16"/>
  <c r="AE186" i="16"/>
  <c r="AG524" i="16"/>
  <c r="AQ523" i="16"/>
  <c r="AG499" i="16"/>
  <c r="AQ498" i="16"/>
  <c r="AQ455" i="16"/>
  <c r="AG456" i="16"/>
  <c r="AG477" i="16"/>
  <c r="AQ476" i="16"/>
  <c r="AG434" i="16"/>
  <c r="AQ433" i="16"/>
  <c r="AQ411" i="16"/>
  <c r="AG368" i="16"/>
  <c r="AQ367" i="16"/>
  <c r="AG389" i="16"/>
  <c r="AQ388" i="16"/>
  <c r="AG325" i="16"/>
  <c r="AQ324" i="16"/>
  <c r="AQ344" i="16"/>
  <c r="AG345" i="16"/>
  <c r="AQ301" i="16"/>
  <c r="AG302" i="16"/>
  <c r="AQ278" i="16"/>
  <c r="AG279" i="16"/>
  <c r="AG236" i="16"/>
  <c r="AQ235" i="16"/>
  <c r="AQ256" i="16"/>
  <c r="AG257" i="16"/>
  <c r="AQ212" i="16"/>
  <c r="AG213" i="16"/>
  <c r="AG193" i="16"/>
  <c r="AQ192" i="16"/>
  <c r="AQ147" i="16"/>
  <c r="AG148" i="16"/>
  <c r="AG170" i="16"/>
  <c r="AQ169" i="16"/>
  <c r="AG104" i="16"/>
  <c r="AQ103" i="16"/>
  <c r="AG126" i="16"/>
  <c r="AQ125" i="16"/>
  <c r="AG82" i="16"/>
  <c r="AQ81" i="16"/>
  <c r="AQ59" i="16"/>
  <c r="AG60" i="16"/>
  <c r="AE59" i="16"/>
  <c r="AP58" i="16"/>
  <c r="AQ52" i="16"/>
  <c r="AG12" i="16"/>
  <c r="AQ11" i="16"/>
  <c r="AP10" i="16"/>
  <c r="AE11" i="16"/>
  <c r="AH59" i="16" l="1"/>
  <c r="AI59" i="16"/>
  <c r="AH229" i="16"/>
  <c r="AI229" i="16"/>
  <c r="AH100" i="16"/>
  <c r="AI100" i="16"/>
  <c r="AH186" i="16"/>
  <c r="AI186" i="16"/>
  <c r="AH11" i="16"/>
  <c r="AI11" i="16"/>
  <c r="AH143" i="16"/>
  <c r="AI143" i="16"/>
  <c r="AQ566" i="16"/>
  <c r="AN185" i="16"/>
  <c r="AN142" i="16"/>
  <c r="AP100" i="16"/>
  <c r="AE101" i="16"/>
  <c r="AN99" i="16"/>
  <c r="AE187" i="16"/>
  <c r="AP186" i="16"/>
  <c r="AE144" i="16"/>
  <c r="AP143" i="16"/>
  <c r="AP229" i="16"/>
  <c r="AE230" i="16"/>
  <c r="AD317" i="16"/>
  <c r="AE273" i="16" a="1"/>
  <c r="AE273" i="16" s="1"/>
  <c r="AN58" i="16"/>
  <c r="AG500" i="16"/>
  <c r="AQ499" i="16"/>
  <c r="AQ524" i="16"/>
  <c r="AG525" i="16"/>
  <c r="AG457" i="16"/>
  <c r="AQ456" i="16"/>
  <c r="AG478" i="16"/>
  <c r="AQ477" i="16"/>
  <c r="AG435" i="16"/>
  <c r="AQ434" i="16"/>
  <c r="AG413" i="16"/>
  <c r="AQ412" i="16"/>
  <c r="AG369" i="16"/>
  <c r="AQ368" i="16"/>
  <c r="AQ389" i="16"/>
  <c r="AG390" i="16"/>
  <c r="AG346" i="16"/>
  <c r="AQ345" i="16"/>
  <c r="AQ325" i="16"/>
  <c r="AG326" i="16"/>
  <c r="AG303" i="16"/>
  <c r="AQ302" i="16"/>
  <c r="AG280" i="16"/>
  <c r="AQ279" i="16"/>
  <c r="AG237" i="16"/>
  <c r="AQ236" i="16"/>
  <c r="AG258" i="16"/>
  <c r="AQ257" i="16"/>
  <c r="AG214" i="16"/>
  <c r="AQ213" i="16"/>
  <c r="AG194" i="16"/>
  <c r="AQ193" i="16"/>
  <c r="AG149" i="16"/>
  <c r="AQ148" i="16"/>
  <c r="AG171" i="16"/>
  <c r="AQ170" i="16"/>
  <c r="AG127" i="16"/>
  <c r="AQ126" i="16"/>
  <c r="AG105" i="16"/>
  <c r="AQ104" i="16"/>
  <c r="AP59" i="16"/>
  <c r="AE60" i="16"/>
  <c r="AG61" i="16"/>
  <c r="AQ60" i="16"/>
  <c r="AG83" i="16"/>
  <c r="AQ82" i="16"/>
  <c r="AQ12" i="16"/>
  <c r="AG13" i="16"/>
  <c r="AP11" i="16"/>
  <c r="AE12" i="16"/>
  <c r="AH12" i="16" l="1"/>
  <c r="AI12" i="16"/>
  <c r="AH60" i="16"/>
  <c r="AI60" i="16"/>
  <c r="AH144" i="16"/>
  <c r="AI144" i="16"/>
  <c r="AH230" i="16"/>
  <c r="AI230" i="16"/>
  <c r="AH187" i="16"/>
  <c r="AI187" i="16"/>
  <c r="AI273" i="16"/>
  <c r="AH273" i="16"/>
  <c r="AN273" i="16" s="1"/>
  <c r="AH101" i="16"/>
  <c r="AI101" i="16"/>
  <c r="AQ567" i="16"/>
  <c r="AN143" i="16"/>
  <c r="AN59" i="16"/>
  <c r="AN100" i="16"/>
  <c r="AN229" i="16"/>
  <c r="AN186" i="16"/>
  <c r="AP230" i="16"/>
  <c r="AE231" i="16"/>
  <c r="AP273" i="16"/>
  <c r="AE274" i="16"/>
  <c r="AP101" i="16"/>
  <c r="AE102" i="16"/>
  <c r="AE188" i="16"/>
  <c r="AP187" i="16"/>
  <c r="AD361" i="16"/>
  <c r="AE317" i="16" a="1"/>
  <c r="AE317" i="16" s="1"/>
  <c r="AP144" i="16"/>
  <c r="AE145" i="16"/>
  <c r="AG501" i="16"/>
  <c r="AQ500" i="16"/>
  <c r="AG526" i="16"/>
  <c r="AQ525" i="16"/>
  <c r="AG458" i="16"/>
  <c r="AQ457" i="16"/>
  <c r="AG479" i="16"/>
  <c r="AQ478" i="16"/>
  <c r="AG414" i="16"/>
  <c r="AQ413" i="16"/>
  <c r="AG436" i="16"/>
  <c r="AQ435" i="16"/>
  <c r="AG391" i="16"/>
  <c r="AQ390" i="16"/>
  <c r="AG370" i="16"/>
  <c r="AQ369" i="16"/>
  <c r="AQ326" i="16"/>
  <c r="AG327" i="16"/>
  <c r="AG347" i="16"/>
  <c r="AQ346" i="16"/>
  <c r="AG281" i="16"/>
  <c r="AQ280" i="16"/>
  <c r="AG304" i="16"/>
  <c r="AQ303" i="16"/>
  <c r="AG259" i="16"/>
  <c r="AQ258" i="16"/>
  <c r="AG238" i="16"/>
  <c r="AQ237" i="16"/>
  <c r="AG215" i="16"/>
  <c r="AQ214" i="16"/>
  <c r="AQ194" i="16"/>
  <c r="AG195" i="16"/>
  <c r="AG172" i="16"/>
  <c r="AQ171" i="16"/>
  <c r="AG150" i="16"/>
  <c r="AQ149" i="16"/>
  <c r="AG106" i="16"/>
  <c r="AQ105" i="16"/>
  <c r="AG128" i="16"/>
  <c r="AQ127" i="16"/>
  <c r="AG84" i="16"/>
  <c r="AQ83" i="16"/>
  <c r="AG62" i="16"/>
  <c r="AQ61" i="16"/>
  <c r="AE61" i="16"/>
  <c r="AP60" i="16"/>
  <c r="AQ13" i="16"/>
  <c r="AG14" i="16"/>
  <c r="AP12" i="16"/>
  <c r="AE13" i="16"/>
  <c r="AH317" i="16" l="1"/>
  <c r="AI317" i="16"/>
  <c r="AH231" i="16"/>
  <c r="AI231" i="16"/>
  <c r="AH61" i="16"/>
  <c r="AI61" i="16"/>
  <c r="AH102" i="16"/>
  <c r="AI102" i="16"/>
  <c r="AH13" i="16"/>
  <c r="AI13" i="16"/>
  <c r="AH188" i="16"/>
  <c r="AI188" i="16"/>
  <c r="AH145" i="16"/>
  <c r="AI145" i="16"/>
  <c r="AI274" i="16"/>
  <c r="AH274" i="16"/>
  <c r="AQ568" i="16"/>
  <c r="AN101" i="16"/>
  <c r="AN230" i="16"/>
  <c r="AE361" i="16" a="1"/>
  <c r="AE361" i="16" s="1"/>
  <c r="AD405" i="16"/>
  <c r="AP274" i="16"/>
  <c r="AE275" i="16"/>
  <c r="AN187" i="16"/>
  <c r="AP145" i="16"/>
  <c r="AE146" i="16"/>
  <c r="AE189" i="16"/>
  <c r="AP188" i="16"/>
  <c r="AE103" i="16"/>
  <c r="AP102" i="16"/>
  <c r="AE232" i="16"/>
  <c r="AP231" i="16"/>
  <c r="AN144" i="16"/>
  <c r="AE318" i="16"/>
  <c r="AP317" i="16"/>
  <c r="AN60" i="16"/>
  <c r="AG527" i="16"/>
  <c r="AQ526" i="16"/>
  <c r="AG502" i="16"/>
  <c r="AQ501" i="16"/>
  <c r="AG480" i="16"/>
  <c r="AQ479" i="16"/>
  <c r="AQ458" i="16"/>
  <c r="AG459" i="16"/>
  <c r="AG437" i="16"/>
  <c r="AQ436" i="16"/>
  <c r="AQ414" i="16"/>
  <c r="AG415" i="16"/>
  <c r="AG392" i="16"/>
  <c r="AQ391" i="16"/>
  <c r="AQ370" i="16"/>
  <c r="AG371" i="16"/>
  <c r="AG328" i="16"/>
  <c r="AQ327" i="16"/>
  <c r="AG348" i="16"/>
  <c r="AQ347" i="16"/>
  <c r="AG305" i="16"/>
  <c r="AQ304" i="16"/>
  <c r="AG282" i="16"/>
  <c r="AQ281" i="16"/>
  <c r="AQ238" i="16"/>
  <c r="AG239" i="16"/>
  <c r="AG260" i="16"/>
  <c r="AQ259" i="16"/>
  <c r="AG196" i="16"/>
  <c r="AQ195" i="16"/>
  <c r="AG216" i="16"/>
  <c r="AQ215" i="16"/>
  <c r="AQ150" i="16"/>
  <c r="AG151" i="16"/>
  <c r="AG173" i="16"/>
  <c r="AQ172" i="16"/>
  <c r="AG129" i="16"/>
  <c r="AQ128" i="16"/>
  <c r="AQ106" i="16"/>
  <c r="AG107" i="16"/>
  <c r="AQ62" i="16"/>
  <c r="AG63" i="16"/>
  <c r="AE62" i="16"/>
  <c r="AP61" i="16"/>
  <c r="AG85" i="16"/>
  <c r="AQ84" i="16"/>
  <c r="AP13" i="16"/>
  <c r="AQ14" i="16"/>
  <c r="AG15" i="16"/>
  <c r="AE14" i="16"/>
  <c r="AH103" i="16" l="1"/>
  <c r="AI103" i="16"/>
  <c r="AH14" i="16"/>
  <c r="AI14" i="16"/>
  <c r="AH361" i="16"/>
  <c r="AI361" i="16"/>
  <c r="AH232" i="16"/>
  <c r="AI232" i="16"/>
  <c r="AH189" i="16"/>
  <c r="AI189" i="16"/>
  <c r="AH318" i="16"/>
  <c r="AI318" i="16"/>
  <c r="AH146" i="16"/>
  <c r="AI146" i="16"/>
  <c r="AH62" i="16"/>
  <c r="AI62" i="16"/>
  <c r="AI275" i="16"/>
  <c r="AH275" i="16"/>
  <c r="AQ569" i="16"/>
  <c r="AN102" i="16"/>
  <c r="AN188" i="16"/>
  <c r="AN274" i="16"/>
  <c r="AN231" i="16"/>
  <c r="AN145" i="16"/>
  <c r="AP103" i="16"/>
  <c r="AE104" i="16"/>
  <c r="AE319" i="16"/>
  <c r="AP318" i="16"/>
  <c r="AE233" i="16"/>
  <c r="AP232" i="16"/>
  <c r="AE190" i="16"/>
  <c r="AP189" i="16"/>
  <c r="AE276" i="16"/>
  <c r="AP275" i="16"/>
  <c r="AN317" i="16"/>
  <c r="AE147" i="16"/>
  <c r="AP146" i="16"/>
  <c r="AE405" i="16" a="1"/>
  <c r="AE405" i="16" s="1"/>
  <c r="AD449" i="16"/>
  <c r="AP361" i="16"/>
  <c r="AE362" i="16"/>
  <c r="AN61" i="16"/>
  <c r="AQ502" i="16"/>
  <c r="AG503" i="16"/>
  <c r="AG528" i="16"/>
  <c r="AQ527" i="16"/>
  <c r="AG481" i="16"/>
  <c r="AQ480" i="16"/>
  <c r="AG460" i="16"/>
  <c r="AQ459" i="16"/>
  <c r="AG416" i="16"/>
  <c r="AQ415" i="16"/>
  <c r="AG438" i="16"/>
  <c r="AQ437" i="16"/>
  <c r="AG393" i="16"/>
  <c r="AQ392" i="16"/>
  <c r="AG372" i="16"/>
  <c r="AQ371" i="16"/>
  <c r="AQ348" i="16"/>
  <c r="AG349" i="16"/>
  <c r="AG329" i="16"/>
  <c r="AQ328" i="16"/>
  <c r="AG306" i="16"/>
  <c r="AQ305" i="16"/>
  <c r="AQ282" i="16"/>
  <c r="AG283" i="16"/>
  <c r="AQ260" i="16"/>
  <c r="AG261" i="16"/>
  <c r="AG240" i="16"/>
  <c r="AQ239" i="16"/>
  <c r="AQ216" i="16"/>
  <c r="AG217" i="16"/>
  <c r="AG197" i="16"/>
  <c r="AQ196" i="16"/>
  <c r="AG152" i="16"/>
  <c r="AQ151" i="16"/>
  <c r="AG174" i="16"/>
  <c r="AQ173" i="16"/>
  <c r="AG130" i="16"/>
  <c r="AQ129" i="16"/>
  <c r="AG108" i="16"/>
  <c r="AQ107" i="16"/>
  <c r="AP62" i="16"/>
  <c r="AE63" i="16"/>
  <c r="AG64" i="16"/>
  <c r="AQ63" i="16"/>
  <c r="AG86" i="16"/>
  <c r="AQ85" i="16"/>
  <c r="AQ15" i="16"/>
  <c r="AG16" i="16"/>
  <c r="AP14" i="16"/>
  <c r="AE15" i="16"/>
  <c r="AH190" i="16" l="1"/>
  <c r="AI190" i="16"/>
  <c r="AH405" i="16"/>
  <c r="AI405" i="16"/>
  <c r="AH233" i="16"/>
  <c r="AI233" i="16"/>
  <c r="AH15" i="16"/>
  <c r="AI15" i="16"/>
  <c r="AH319" i="16"/>
  <c r="AI319" i="16"/>
  <c r="AH104" i="16"/>
  <c r="AI104" i="16"/>
  <c r="AH63" i="16"/>
  <c r="AI63" i="16"/>
  <c r="AH147" i="16"/>
  <c r="AI147" i="16"/>
  <c r="AH362" i="16"/>
  <c r="AI362" i="16"/>
  <c r="AI276" i="16"/>
  <c r="AH276" i="16"/>
  <c r="AN189" i="16"/>
  <c r="AQ570" i="16"/>
  <c r="AN146" i="16"/>
  <c r="AN103" i="16"/>
  <c r="AN318" i="16"/>
  <c r="AN275" i="16"/>
  <c r="AN232" i="16"/>
  <c r="AN361" i="16"/>
  <c r="AE363" i="16"/>
  <c r="AP362" i="16"/>
  <c r="AP147" i="16"/>
  <c r="AE148" i="16"/>
  <c r="AE191" i="16"/>
  <c r="AP190" i="16"/>
  <c r="AE320" i="16"/>
  <c r="AP319" i="16"/>
  <c r="AE105" i="16"/>
  <c r="AP104" i="16"/>
  <c r="AD493" i="16"/>
  <c r="AE449" i="16" a="1"/>
  <c r="AE449" i="16" s="1"/>
  <c r="AE406" i="16"/>
  <c r="AP405" i="16"/>
  <c r="AP276" i="16"/>
  <c r="AE277" i="16"/>
  <c r="AE234" i="16"/>
  <c r="AP233" i="16"/>
  <c r="AQ528" i="16"/>
  <c r="AG529" i="16"/>
  <c r="AG504" i="16"/>
  <c r="AQ503" i="16"/>
  <c r="AG461" i="16"/>
  <c r="AQ460" i="16"/>
  <c r="AG482" i="16"/>
  <c r="AQ481" i="16"/>
  <c r="AG439" i="16"/>
  <c r="AQ438" i="16"/>
  <c r="AG417" i="16"/>
  <c r="AQ416" i="16"/>
  <c r="AG373" i="16"/>
  <c r="AQ372" i="16"/>
  <c r="AQ393" i="16"/>
  <c r="AG394" i="16"/>
  <c r="AQ329" i="16"/>
  <c r="AG330" i="16"/>
  <c r="AG350" i="16"/>
  <c r="AQ349" i="16"/>
  <c r="AG284" i="16"/>
  <c r="AQ283" i="16"/>
  <c r="AG307" i="16"/>
  <c r="AQ306" i="16"/>
  <c r="AG241" i="16"/>
  <c r="AQ240" i="16"/>
  <c r="AG262" i="16"/>
  <c r="AQ261" i="16"/>
  <c r="AQ197" i="16"/>
  <c r="AG198" i="16"/>
  <c r="AG218" i="16"/>
  <c r="AQ217" i="16"/>
  <c r="AG153" i="16"/>
  <c r="AQ152" i="16"/>
  <c r="AG175" i="16"/>
  <c r="AQ174" i="16"/>
  <c r="AG109" i="16"/>
  <c r="AQ108" i="16"/>
  <c r="AG131" i="16"/>
  <c r="AQ130" i="16"/>
  <c r="AG87" i="16"/>
  <c r="AQ86" i="16"/>
  <c r="AE64" i="16"/>
  <c r="AP63" i="16"/>
  <c r="AN62" i="16"/>
  <c r="AG65" i="16"/>
  <c r="AQ64" i="16"/>
  <c r="AP15" i="16"/>
  <c r="AQ16" i="16"/>
  <c r="AG17" i="16"/>
  <c r="AE16" i="16"/>
  <c r="AH234" i="16" l="1"/>
  <c r="AI234" i="16"/>
  <c r="AH105" i="16"/>
  <c r="AI105" i="16"/>
  <c r="AH363" i="16"/>
  <c r="AI363" i="16"/>
  <c r="AH449" i="16"/>
  <c r="AI449" i="16"/>
  <c r="AH320" i="16"/>
  <c r="AI320" i="16"/>
  <c r="AH148" i="16"/>
  <c r="AI148" i="16"/>
  <c r="AI277" i="16"/>
  <c r="AH277" i="16"/>
  <c r="AH16" i="16"/>
  <c r="AI16" i="16"/>
  <c r="AH64" i="16"/>
  <c r="AI64" i="16"/>
  <c r="AH406" i="16"/>
  <c r="AI406" i="16"/>
  <c r="AH191" i="16"/>
  <c r="AI191" i="16"/>
  <c r="AE493" i="16" a="1"/>
  <c r="AE493" i="16" s="1"/>
  <c r="AD537" i="16"/>
  <c r="AQ571" i="16"/>
  <c r="AN190" i="16"/>
  <c r="AN319" i="16"/>
  <c r="AN233" i="16"/>
  <c r="AN405" i="16"/>
  <c r="AN276" i="16"/>
  <c r="AE106" i="16"/>
  <c r="AP105" i="16"/>
  <c r="AN63" i="16"/>
  <c r="AP449" i="16"/>
  <c r="AE450" i="16"/>
  <c r="AN147" i="16"/>
  <c r="AP191" i="16"/>
  <c r="AE192" i="16"/>
  <c r="AP234" i="16"/>
  <c r="AE235" i="16"/>
  <c r="AE149" i="16"/>
  <c r="AP148" i="16"/>
  <c r="AE278" i="16"/>
  <c r="AP277" i="16"/>
  <c r="AP320" i="16"/>
  <c r="AE321" i="16"/>
  <c r="AE407" i="16"/>
  <c r="AP406" i="16"/>
  <c r="AN104" i="16"/>
  <c r="AN362" i="16"/>
  <c r="AP363" i="16"/>
  <c r="AE364" i="16"/>
  <c r="AG505" i="16"/>
  <c r="AQ504" i="16"/>
  <c r="AG530" i="16"/>
  <c r="AQ529" i="16"/>
  <c r="AQ461" i="16"/>
  <c r="AG462" i="16"/>
  <c r="AG483" i="16"/>
  <c r="AQ482" i="16"/>
  <c r="AQ417" i="16"/>
  <c r="AG418" i="16"/>
  <c r="AG440" i="16"/>
  <c r="AQ439" i="16"/>
  <c r="AQ373" i="16"/>
  <c r="AG374" i="16"/>
  <c r="AG395" i="16"/>
  <c r="AQ394" i="16"/>
  <c r="AG351" i="16"/>
  <c r="AQ350" i="16"/>
  <c r="AG331" i="16"/>
  <c r="AQ330" i="16"/>
  <c r="AG308" i="16"/>
  <c r="AQ307" i="16"/>
  <c r="AG285" i="16"/>
  <c r="AQ284" i="16"/>
  <c r="AG263" i="16"/>
  <c r="AQ262" i="16"/>
  <c r="AQ241" i="16"/>
  <c r="AG242" i="16"/>
  <c r="AG219" i="16"/>
  <c r="AQ218" i="16"/>
  <c r="AG199" i="16"/>
  <c r="AQ198" i="16"/>
  <c r="AG176" i="16"/>
  <c r="AQ175" i="16"/>
  <c r="AG154" i="16"/>
  <c r="AQ153" i="16"/>
  <c r="AG132" i="16"/>
  <c r="AQ131" i="16"/>
  <c r="AQ109" i="16"/>
  <c r="AG110" i="16"/>
  <c r="AE65" i="16"/>
  <c r="AP64" i="16"/>
  <c r="AQ65" i="16"/>
  <c r="AG66" i="16"/>
  <c r="AG88" i="16"/>
  <c r="AQ87" i="16"/>
  <c r="AP16" i="16"/>
  <c r="AQ17" i="16"/>
  <c r="AG18" i="16"/>
  <c r="AE17" i="16"/>
  <c r="AH235" i="16" l="1"/>
  <c r="AI235" i="16"/>
  <c r="AH407" i="16"/>
  <c r="AI407" i="16"/>
  <c r="AH106" i="16"/>
  <c r="AI106" i="16"/>
  <c r="AH493" i="16"/>
  <c r="AN493" i="16" s="1"/>
  <c r="AI493" i="16"/>
  <c r="AH17" i="16"/>
  <c r="AI17" i="16"/>
  <c r="AH321" i="16"/>
  <c r="AI321" i="16"/>
  <c r="AH192" i="16"/>
  <c r="AI192" i="16"/>
  <c r="AH65" i="16"/>
  <c r="AI65" i="16"/>
  <c r="AH364" i="16"/>
  <c r="AI364" i="16"/>
  <c r="AH450" i="16"/>
  <c r="AI450" i="16"/>
  <c r="AI278" i="16"/>
  <c r="AH278" i="16"/>
  <c r="AH149" i="16"/>
  <c r="AI149" i="16"/>
  <c r="AP493" i="16"/>
  <c r="AE494" i="16"/>
  <c r="AI494" i="16" s="1"/>
  <c r="AQ572" i="16"/>
  <c r="AN234" i="16"/>
  <c r="AN320" i="16"/>
  <c r="AN406" i="16"/>
  <c r="AN148" i="16"/>
  <c r="AN277" i="16"/>
  <c r="AN449" i="16"/>
  <c r="AN105" i="16"/>
  <c r="AN363" i="16"/>
  <c r="AE322" i="16"/>
  <c r="AP321" i="16"/>
  <c r="AP235" i="16"/>
  <c r="AE236" i="16"/>
  <c r="AE451" i="16"/>
  <c r="AP450" i="16"/>
  <c r="AN64" i="16"/>
  <c r="AE193" i="16"/>
  <c r="AP192" i="16"/>
  <c r="AP278" i="16"/>
  <c r="AE279" i="16"/>
  <c r="AN191" i="16"/>
  <c r="AP364" i="16"/>
  <c r="AE365" i="16"/>
  <c r="AP407" i="16"/>
  <c r="AE408" i="16"/>
  <c r="AE150" i="16"/>
  <c r="AP149" i="16"/>
  <c r="AP106" i="16"/>
  <c r="AE107" i="16"/>
  <c r="AG531" i="16"/>
  <c r="AQ530" i="16"/>
  <c r="AQ505" i="16"/>
  <c r="AG506" i="16"/>
  <c r="AG484" i="16"/>
  <c r="AQ483" i="16"/>
  <c r="AG463" i="16"/>
  <c r="AQ462" i="16"/>
  <c r="AG419" i="16"/>
  <c r="AQ418" i="16"/>
  <c r="AG441" i="16"/>
  <c r="AQ440" i="16"/>
  <c r="AG375" i="16"/>
  <c r="AQ374" i="16"/>
  <c r="AG396" i="16"/>
  <c r="AQ395" i="16"/>
  <c r="AG352" i="16"/>
  <c r="AQ351" i="16"/>
  <c r="AG332" i="16"/>
  <c r="AQ331" i="16"/>
  <c r="AQ285" i="16"/>
  <c r="AG286" i="16"/>
  <c r="AG309" i="16"/>
  <c r="AQ308" i="16"/>
  <c r="AG243" i="16"/>
  <c r="AQ242" i="16"/>
  <c r="AG264" i="16"/>
  <c r="AQ263" i="16"/>
  <c r="AG200" i="16"/>
  <c r="AQ199" i="16"/>
  <c r="AG220" i="16"/>
  <c r="AQ219" i="16"/>
  <c r="AG155" i="16"/>
  <c r="AQ154" i="16"/>
  <c r="AG177" i="16"/>
  <c r="AQ176" i="16"/>
  <c r="AG111" i="16"/>
  <c r="AQ110" i="16"/>
  <c r="AG133" i="16"/>
  <c r="AQ132" i="16"/>
  <c r="AG89" i="16"/>
  <c r="AQ88" i="16"/>
  <c r="AE66" i="16"/>
  <c r="AP65" i="16"/>
  <c r="AG67" i="16"/>
  <c r="AQ66" i="16"/>
  <c r="AP17" i="16"/>
  <c r="AQ18" i="16"/>
  <c r="AG19" i="16"/>
  <c r="AE18" i="16"/>
  <c r="AH107" i="16" l="1"/>
  <c r="AI107" i="16"/>
  <c r="AH236" i="16"/>
  <c r="AI236" i="16"/>
  <c r="AI279" i="16"/>
  <c r="AH279" i="16"/>
  <c r="AH365" i="16"/>
  <c r="AI365" i="16"/>
  <c r="AH451" i="16"/>
  <c r="AI451" i="16"/>
  <c r="AH66" i="16"/>
  <c r="AI66" i="16"/>
  <c r="AH18" i="16"/>
  <c r="AI18" i="16"/>
  <c r="AH150" i="16"/>
  <c r="AI150" i="16"/>
  <c r="AH322" i="16"/>
  <c r="AI322" i="16"/>
  <c r="AH408" i="16"/>
  <c r="AI408" i="16"/>
  <c r="AH193" i="16"/>
  <c r="AI193" i="16"/>
  <c r="AE495" i="16"/>
  <c r="AH494" i="16"/>
  <c r="AP494" i="16"/>
  <c r="AQ573" i="16"/>
  <c r="AN106" i="16"/>
  <c r="AN149" i="16"/>
  <c r="AN278" i="16"/>
  <c r="AN192" i="16"/>
  <c r="AN321" i="16"/>
  <c r="AN364" i="16"/>
  <c r="AN235" i="16"/>
  <c r="AE151" i="16"/>
  <c r="AP150" i="16"/>
  <c r="AE194" i="16"/>
  <c r="AP193" i="16"/>
  <c r="AE366" i="16"/>
  <c r="AP365" i="16"/>
  <c r="AE280" i="16"/>
  <c r="AP279" i="16"/>
  <c r="AN450" i="16"/>
  <c r="AE237" i="16"/>
  <c r="AP236" i="16"/>
  <c r="AN407" i="16"/>
  <c r="AP451" i="16"/>
  <c r="AE452" i="16"/>
  <c r="AP322" i="16"/>
  <c r="AE323" i="16"/>
  <c r="AE108" i="16"/>
  <c r="AP107" i="16"/>
  <c r="AE409" i="16"/>
  <c r="AP408" i="16"/>
  <c r="AP495" i="16"/>
  <c r="AN65" i="16"/>
  <c r="AG507" i="16"/>
  <c r="AQ506" i="16"/>
  <c r="AG532" i="16"/>
  <c r="AQ531" i="16"/>
  <c r="AG485" i="16"/>
  <c r="AQ484" i="16"/>
  <c r="AG464" i="16"/>
  <c r="AQ463" i="16"/>
  <c r="AG420" i="16"/>
  <c r="AQ419" i="16"/>
  <c r="AG442" i="16"/>
  <c r="AQ441" i="16"/>
  <c r="AG376" i="16"/>
  <c r="AQ375" i="16"/>
  <c r="AG397" i="16"/>
  <c r="AQ396" i="16"/>
  <c r="AG333" i="16"/>
  <c r="AQ332" i="16"/>
  <c r="AQ352" i="16"/>
  <c r="AG353" i="16"/>
  <c r="AG310" i="16"/>
  <c r="AQ309" i="16"/>
  <c r="AQ286" i="16"/>
  <c r="AG287" i="16"/>
  <c r="AG244" i="16"/>
  <c r="AQ243" i="16"/>
  <c r="AQ264" i="16"/>
  <c r="AG265" i="16"/>
  <c r="AQ220" i="16"/>
  <c r="AG221" i="16"/>
  <c r="AG201" i="16"/>
  <c r="AQ200" i="16"/>
  <c r="AQ155" i="16"/>
  <c r="AG156" i="16"/>
  <c r="AG178" i="16"/>
  <c r="AQ177" i="16"/>
  <c r="AG134" i="16"/>
  <c r="AQ133" i="16"/>
  <c r="AQ111" i="16"/>
  <c r="AG112" i="16"/>
  <c r="AE67" i="16"/>
  <c r="AP66" i="16"/>
  <c r="AQ67" i="16"/>
  <c r="AG68" i="16"/>
  <c r="AG90" i="16"/>
  <c r="AQ89" i="16"/>
  <c r="AP18" i="16"/>
  <c r="AQ19" i="16"/>
  <c r="AG20" i="16"/>
  <c r="AE19" i="16"/>
  <c r="AH409" i="16" l="1"/>
  <c r="AI409" i="16"/>
  <c r="AH194" i="16"/>
  <c r="AI194" i="16"/>
  <c r="AH237" i="16"/>
  <c r="AI237" i="16"/>
  <c r="AH67" i="16"/>
  <c r="AI67" i="16"/>
  <c r="AH323" i="16"/>
  <c r="AI323" i="16"/>
  <c r="AI280" i="16"/>
  <c r="AH280" i="16"/>
  <c r="AH19" i="16"/>
  <c r="AI19" i="16"/>
  <c r="AH108" i="16"/>
  <c r="AI108" i="16"/>
  <c r="AH151" i="16"/>
  <c r="AI151" i="16"/>
  <c r="AH452" i="16"/>
  <c r="AI452" i="16"/>
  <c r="AH495" i="16"/>
  <c r="AN495" i="16" s="1"/>
  <c r="AI495" i="16"/>
  <c r="AE496" i="16"/>
  <c r="AH366" i="16"/>
  <c r="AI366" i="16"/>
  <c r="AN494" i="16"/>
  <c r="AQ574" i="16"/>
  <c r="AQ551" i="16"/>
  <c r="AN193" i="16"/>
  <c r="AN279" i="16"/>
  <c r="AN236" i="16"/>
  <c r="AN150" i="16"/>
  <c r="AN408" i="16"/>
  <c r="AP323" i="16"/>
  <c r="AE324" i="16"/>
  <c r="AN66" i="16"/>
  <c r="AE410" i="16"/>
  <c r="AP409" i="16"/>
  <c r="AN322" i="16"/>
  <c r="AE281" i="16"/>
  <c r="AP280" i="16"/>
  <c r="AP194" i="16"/>
  <c r="AE195" i="16"/>
  <c r="AP108" i="16"/>
  <c r="AE109" i="16"/>
  <c r="AP452" i="16"/>
  <c r="AE453" i="16"/>
  <c r="AE238" i="16"/>
  <c r="AP237" i="16"/>
  <c r="AE367" i="16"/>
  <c r="AP366" i="16"/>
  <c r="AP496" i="16"/>
  <c r="AN107" i="16"/>
  <c r="AN451" i="16"/>
  <c r="AN365" i="16"/>
  <c r="AE152" i="16"/>
  <c r="AP151" i="16"/>
  <c r="AG508" i="16"/>
  <c r="AQ507" i="16"/>
  <c r="AQ532" i="16"/>
  <c r="AG533" i="16"/>
  <c r="AG465" i="16"/>
  <c r="AQ464" i="16"/>
  <c r="AG486" i="16"/>
  <c r="AQ485" i="16"/>
  <c r="AG443" i="16"/>
  <c r="AQ442" i="16"/>
  <c r="AG421" i="16"/>
  <c r="AQ420" i="16"/>
  <c r="AQ397" i="16"/>
  <c r="AG398" i="16"/>
  <c r="AG377" i="16"/>
  <c r="AQ376" i="16"/>
  <c r="AG354" i="16"/>
  <c r="AQ353" i="16"/>
  <c r="AQ333" i="16"/>
  <c r="AG334" i="16"/>
  <c r="AG311" i="16"/>
  <c r="AQ310" i="16"/>
  <c r="AG288" i="16"/>
  <c r="AQ287" i="16"/>
  <c r="AG266" i="16"/>
  <c r="AQ265" i="16"/>
  <c r="AG245" i="16"/>
  <c r="AQ244" i="16"/>
  <c r="AG222" i="16"/>
  <c r="AQ221" i="16"/>
  <c r="AG202" i="16"/>
  <c r="AQ201" i="16"/>
  <c r="AG157" i="16"/>
  <c r="AQ156" i="16"/>
  <c r="AG179" i="16"/>
  <c r="AQ178" i="16"/>
  <c r="AG135" i="16"/>
  <c r="AQ134" i="16"/>
  <c r="AG113" i="16"/>
  <c r="AQ112" i="16"/>
  <c r="AG91" i="16"/>
  <c r="AQ90" i="16"/>
  <c r="AG69" i="16"/>
  <c r="AQ68" i="16"/>
  <c r="AP67" i="16"/>
  <c r="AE68" i="16"/>
  <c r="AP19" i="16"/>
  <c r="AQ20" i="16"/>
  <c r="AG21" i="16"/>
  <c r="AE20" i="16"/>
  <c r="AH367" i="16" l="1"/>
  <c r="AI367" i="16"/>
  <c r="AH152" i="16"/>
  <c r="AI152" i="16"/>
  <c r="AH68" i="16"/>
  <c r="AI68" i="16"/>
  <c r="AI281" i="16"/>
  <c r="AH281" i="16"/>
  <c r="AH453" i="16"/>
  <c r="AI453" i="16"/>
  <c r="AH195" i="16"/>
  <c r="AI195" i="16"/>
  <c r="AH238" i="16"/>
  <c r="AI238" i="16"/>
  <c r="AH496" i="16"/>
  <c r="AN496" i="16" s="1"/>
  <c r="AI496" i="16"/>
  <c r="AE497" i="16"/>
  <c r="AE498" i="16" s="1"/>
  <c r="AH109" i="16"/>
  <c r="AI109" i="16"/>
  <c r="AH410" i="16"/>
  <c r="AI410" i="16"/>
  <c r="AH324" i="16"/>
  <c r="AI324" i="16"/>
  <c r="AH20" i="16"/>
  <c r="AI20" i="16"/>
  <c r="AQ552" i="16"/>
  <c r="AQ575" i="16"/>
  <c r="AN323" i="16"/>
  <c r="AN409" i="16"/>
  <c r="AN280" i="16"/>
  <c r="AN108" i="16"/>
  <c r="AN366" i="16"/>
  <c r="AN237" i="16"/>
  <c r="AN151" i="16"/>
  <c r="AP238" i="16"/>
  <c r="AE239" i="16"/>
  <c r="AE325" i="16"/>
  <c r="AP324" i="16"/>
  <c r="AP152" i="16"/>
  <c r="AE153" i="16"/>
  <c r="AP453" i="16"/>
  <c r="AE454" i="16"/>
  <c r="AE282" i="16"/>
  <c r="AP281" i="16"/>
  <c r="AE411" i="16"/>
  <c r="AP410" i="16"/>
  <c r="AE196" i="16"/>
  <c r="AP195" i="16"/>
  <c r="AE368" i="16"/>
  <c r="AP367" i="16"/>
  <c r="AN452" i="16"/>
  <c r="AE110" i="16"/>
  <c r="AP109" i="16"/>
  <c r="AN194" i="16"/>
  <c r="AG534" i="16"/>
  <c r="AQ533" i="16"/>
  <c r="AG509" i="16"/>
  <c r="AQ508" i="16"/>
  <c r="AG466" i="16"/>
  <c r="AQ465" i="16"/>
  <c r="AG487" i="16"/>
  <c r="AQ486" i="16"/>
  <c r="AG422" i="16"/>
  <c r="AQ421" i="16"/>
  <c r="AQ443" i="16"/>
  <c r="AG444" i="16"/>
  <c r="AG399" i="16"/>
  <c r="AQ398" i="16"/>
  <c r="AG378" i="16"/>
  <c r="AQ377" i="16"/>
  <c r="AG355" i="16"/>
  <c r="AQ354" i="16"/>
  <c r="AQ334" i="16"/>
  <c r="AG335" i="16"/>
  <c r="AG289" i="16"/>
  <c r="AQ288" i="16"/>
  <c r="AG312" i="16"/>
  <c r="AQ311" i="16"/>
  <c r="AG267" i="16"/>
  <c r="AQ266" i="16"/>
  <c r="AG246" i="16"/>
  <c r="AQ245" i="16"/>
  <c r="AG223" i="16"/>
  <c r="AQ222" i="16"/>
  <c r="AQ202" i="16"/>
  <c r="AG203" i="16"/>
  <c r="AG158" i="16"/>
  <c r="AQ157" i="16"/>
  <c r="AG180" i="16"/>
  <c r="AQ179" i="16"/>
  <c r="AG114" i="16"/>
  <c r="AQ113" i="16"/>
  <c r="AG136" i="16"/>
  <c r="AQ135" i="16"/>
  <c r="AG70" i="16"/>
  <c r="AQ69" i="16"/>
  <c r="AE69" i="16"/>
  <c r="AP68" i="16"/>
  <c r="AN67" i="16"/>
  <c r="AG92" i="16"/>
  <c r="AQ91" i="16"/>
  <c r="AP20" i="16"/>
  <c r="AQ21" i="16"/>
  <c r="AG22" i="16"/>
  <c r="AE21" i="16"/>
  <c r="AH498" i="16" l="1"/>
  <c r="AI498" i="16"/>
  <c r="AH411" i="16"/>
  <c r="AI411" i="16"/>
  <c r="AH325" i="16"/>
  <c r="AI325" i="16"/>
  <c r="AH110" i="16"/>
  <c r="AI110" i="16"/>
  <c r="AH239" i="16"/>
  <c r="AI239" i="16"/>
  <c r="AI282" i="16"/>
  <c r="AH282" i="16"/>
  <c r="AH454" i="16"/>
  <c r="AI454" i="16"/>
  <c r="AH21" i="16"/>
  <c r="AI21" i="16"/>
  <c r="AP497" i="16"/>
  <c r="AH153" i="16"/>
  <c r="AI153" i="16"/>
  <c r="AH69" i="16"/>
  <c r="AI69" i="16"/>
  <c r="AH368" i="16"/>
  <c r="AI368" i="16"/>
  <c r="AH196" i="16"/>
  <c r="AI196" i="16"/>
  <c r="AH497" i="16"/>
  <c r="AI497" i="16"/>
  <c r="AN68" i="16"/>
  <c r="AQ576" i="16"/>
  <c r="AQ553" i="16"/>
  <c r="AN453" i="16"/>
  <c r="AN410" i="16"/>
  <c r="AN238" i="16"/>
  <c r="AN109" i="16"/>
  <c r="AN152" i="16"/>
  <c r="AN281" i="16"/>
  <c r="AN367" i="16"/>
  <c r="AE111" i="16"/>
  <c r="AP110" i="16"/>
  <c r="AP196" i="16"/>
  <c r="AE197" i="16"/>
  <c r="AE154" i="16"/>
  <c r="AP153" i="16"/>
  <c r="AN195" i="16"/>
  <c r="AE283" i="16"/>
  <c r="AP282" i="16"/>
  <c r="AP454" i="16"/>
  <c r="AE455" i="16"/>
  <c r="AP411" i="16"/>
  <c r="AE412" i="16"/>
  <c r="AE326" i="16"/>
  <c r="AP325" i="16"/>
  <c r="AE499" i="16"/>
  <c r="AP498" i="16"/>
  <c r="AP368" i="16"/>
  <c r="AE369" i="16"/>
  <c r="AN324" i="16"/>
  <c r="AP239" i="16"/>
  <c r="AE240" i="16"/>
  <c r="AQ509" i="16"/>
  <c r="AG510" i="16"/>
  <c r="AG535" i="16"/>
  <c r="AQ534" i="16"/>
  <c r="AG488" i="16"/>
  <c r="AQ487" i="16"/>
  <c r="AQ466" i="16"/>
  <c r="AG467" i="16"/>
  <c r="AQ422" i="16"/>
  <c r="AG423" i="16"/>
  <c r="AG445" i="16"/>
  <c r="AQ444" i="16"/>
  <c r="AQ378" i="16"/>
  <c r="AG379" i="16"/>
  <c r="AG400" i="16"/>
  <c r="AQ399" i="16"/>
  <c r="AG336" i="16"/>
  <c r="AQ335" i="16"/>
  <c r="AG356" i="16"/>
  <c r="AQ355" i="16"/>
  <c r="AG313" i="16"/>
  <c r="AQ312" i="16"/>
  <c r="AG290" i="16"/>
  <c r="AQ289" i="16"/>
  <c r="AQ246" i="16"/>
  <c r="AG247" i="16"/>
  <c r="AG268" i="16"/>
  <c r="AQ267" i="16"/>
  <c r="AG204" i="16"/>
  <c r="AQ203" i="16"/>
  <c r="AG224" i="16"/>
  <c r="AQ223" i="16"/>
  <c r="AG181" i="16"/>
  <c r="AQ180" i="16"/>
  <c r="AQ158" i="16"/>
  <c r="AG159" i="16"/>
  <c r="AG137" i="16"/>
  <c r="AQ136" i="16"/>
  <c r="AQ114" i="16"/>
  <c r="AG115" i="16"/>
  <c r="AE70" i="16"/>
  <c r="AP69" i="16"/>
  <c r="AQ70" i="16"/>
  <c r="AG71" i="16"/>
  <c r="AG93" i="16"/>
  <c r="AQ92" i="16"/>
  <c r="AP21" i="16"/>
  <c r="AQ22" i="16"/>
  <c r="AG23" i="16"/>
  <c r="AE22" i="16"/>
  <c r="AN497" i="16" l="1"/>
  <c r="AH240" i="16"/>
  <c r="AI240" i="16"/>
  <c r="AH412" i="16"/>
  <c r="AI412" i="16"/>
  <c r="AH455" i="16"/>
  <c r="AI455" i="16"/>
  <c r="AH111" i="16"/>
  <c r="AI111" i="16"/>
  <c r="AH197" i="16"/>
  <c r="AI197" i="16"/>
  <c r="AH22" i="16"/>
  <c r="AI22" i="16"/>
  <c r="AH499" i="16"/>
  <c r="AI499" i="16"/>
  <c r="AI283" i="16"/>
  <c r="AH283" i="16"/>
  <c r="AH369" i="16"/>
  <c r="AI369" i="16"/>
  <c r="AH70" i="16"/>
  <c r="AI70" i="16"/>
  <c r="AH326" i="16"/>
  <c r="AI326" i="16"/>
  <c r="AH154" i="16"/>
  <c r="AI154" i="16"/>
  <c r="AQ577" i="16"/>
  <c r="AQ554" i="16"/>
  <c r="AN282" i="16"/>
  <c r="AN239" i="16"/>
  <c r="AN325" i="16"/>
  <c r="AN454" i="16"/>
  <c r="AN498" i="16"/>
  <c r="AN411" i="16"/>
  <c r="AN196" i="16"/>
  <c r="AN110" i="16"/>
  <c r="AE327" i="16"/>
  <c r="AP326" i="16"/>
  <c r="AP499" i="16"/>
  <c r="AE500" i="16"/>
  <c r="AP111" i="16"/>
  <c r="AE112" i="16"/>
  <c r="AP283" i="16"/>
  <c r="AE284" i="16"/>
  <c r="AE198" i="16"/>
  <c r="AP197" i="16"/>
  <c r="AE155" i="16"/>
  <c r="AP154" i="16"/>
  <c r="AE413" i="16"/>
  <c r="AP412" i="16"/>
  <c r="AN368" i="16"/>
  <c r="AE241" i="16"/>
  <c r="AP240" i="16"/>
  <c r="AE370" i="16"/>
  <c r="AP369" i="16"/>
  <c r="AN153" i="16"/>
  <c r="AP455" i="16"/>
  <c r="AE456" i="16"/>
  <c r="AG536" i="16"/>
  <c r="AQ535" i="16"/>
  <c r="AQ510" i="16"/>
  <c r="AG511" i="16"/>
  <c r="AG489" i="16"/>
  <c r="AQ488" i="16"/>
  <c r="AG468" i="16"/>
  <c r="AQ467" i="16"/>
  <c r="AG424" i="16"/>
  <c r="AQ423" i="16"/>
  <c r="AG446" i="16"/>
  <c r="AQ445" i="16"/>
  <c r="AG380" i="16"/>
  <c r="AQ379" i="16"/>
  <c r="AG401" i="16"/>
  <c r="AQ400" i="16"/>
  <c r="AG337" i="16"/>
  <c r="AQ336" i="16"/>
  <c r="AQ356" i="16"/>
  <c r="AG357" i="16"/>
  <c r="AQ290" i="16"/>
  <c r="AG291" i="16"/>
  <c r="AG314" i="16"/>
  <c r="AQ313" i="16"/>
  <c r="AG248" i="16"/>
  <c r="AQ247" i="16"/>
  <c r="AQ268" i="16"/>
  <c r="AG269" i="16"/>
  <c r="AG205" i="16"/>
  <c r="AQ204" i="16"/>
  <c r="AQ224" i="16"/>
  <c r="AG225" i="16"/>
  <c r="AG182" i="16"/>
  <c r="AQ181" i="16"/>
  <c r="AG160" i="16"/>
  <c r="AQ159" i="16"/>
  <c r="AG116" i="16"/>
  <c r="AQ115" i="16"/>
  <c r="AG138" i="16"/>
  <c r="AQ137" i="16"/>
  <c r="AG72" i="16"/>
  <c r="AQ71" i="16"/>
  <c r="AG94" i="16"/>
  <c r="AQ93" i="16"/>
  <c r="AN69" i="16"/>
  <c r="AP70" i="16"/>
  <c r="AE71" i="16"/>
  <c r="AP22" i="16"/>
  <c r="AQ23" i="16"/>
  <c r="AG24" i="16"/>
  <c r="AE23" i="16"/>
  <c r="AH456" i="16" l="1"/>
  <c r="AI456" i="16"/>
  <c r="AH71" i="16"/>
  <c r="AI71" i="16"/>
  <c r="AH413" i="16"/>
  <c r="AI413" i="16"/>
  <c r="AH23" i="16"/>
  <c r="AI23" i="16"/>
  <c r="AH327" i="16"/>
  <c r="AI327" i="16"/>
  <c r="AH241" i="16"/>
  <c r="AI241" i="16"/>
  <c r="AH112" i="16"/>
  <c r="AI112" i="16"/>
  <c r="AH500" i="16"/>
  <c r="AI500" i="16"/>
  <c r="AH370" i="16"/>
  <c r="AI370" i="16"/>
  <c r="AH198" i="16"/>
  <c r="AI198" i="16"/>
  <c r="AI284" i="16"/>
  <c r="AH284" i="16"/>
  <c r="AH155" i="16"/>
  <c r="AI155" i="16"/>
  <c r="AQ555" i="16"/>
  <c r="AQ578" i="16"/>
  <c r="AN369" i="16"/>
  <c r="AN111" i="16"/>
  <c r="AN455" i="16"/>
  <c r="AN283" i="16"/>
  <c r="AE501" i="16"/>
  <c r="AP500" i="16"/>
  <c r="AP241" i="16"/>
  <c r="AE242" i="16"/>
  <c r="AE285" i="16"/>
  <c r="AP284" i="16"/>
  <c r="AN240" i="16"/>
  <c r="AP155" i="16"/>
  <c r="AE156" i="16"/>
  <c r="AN499" i="16"/>
  <c r="AN154" i="16"/>
  <c r="AN197" i="16"/>
  <c r="AP112" i="16"/>
  <c r="AE113" i="16"/>
  <c r="AE457" i="16"/>
  <c r="AP456" i="16"/>
  <c r="AP370" i="16"/>
  <c r="AE371" i="16"/>
  <c r="AE414" i="16"/>
  <c r="AP413" i="16"/>
  <c r="AE328" i="16"/>
  <c r="AP327" i="16"/>
  <c r="AN412" i="16"/>
  <c r="AP198" i="16"/>
  <c r="AE199" i="16"/>
  <c r="AN326" i="16"/>
  <c r="AG512" i="16"/>
  <c r="AQ511" i="16"/>
  <c r="AQ536" i="16"/>
  <c r="AG490" i="16"/>
  <c r="AQ489" i="16"/>
  <c r="AG469" i="16"/>
  <c r="AQ468" i="16"/>
  <c r="AG447" i="16"/>
  <c r="AQ446" i="16"/>
  <c r="AG425" i="16"/>
  <c r="AQ424" i="16"/>
  <c r="AG381" i="16"/>
  <c r="AQ380" i="16"/>
  <c r="AQ401" i="16"/>
  <c r="AG402" i="16"/>
  <c r="AG358" i="16"/>
  <c r="AQ357" i="16"/>
  <c r="AQ337" i="16"/>
  <c r="AG338" i="16"/>
  <c r="AG292" i="16"/>
  <c r="AQ291" i="16"/>
  <c r="AG315" i="16"/>
  <c r="AQ314" i="16"/>
  <c r="AG270" i="16"/>
  <c r="AQ269" i="16"/>
  <c r="AG249" i="16"/>
  <c r="AQ248" i="16"/>
  <c r="AG226" i="16"/>
  <c r="AQ225" i="16"/>
  <c r="AQ205" i="16"/>
  <c r="AG206" i="16"/>
  <c r="AG161" i="16"/>
  <c r="AQ160" i="16"/>
  <c r="AG183" i="16"/>
  <c r="AQ182" i="16"/>
  <c r="AG117" i="16"/>
  <c r="AQ116" i="16"/>
  <c r="AG139" i="16"/>
  <c r="AQ138" i="16"/>
  <c r="AN70" i="16"/>
  <c r="AG95" i="16"/>
  <c r="AQ94" i="16"/>
  <c r="AE72" i="16"/>
  <c r="AP71" i="16"/>
  <c r="AG73" i="16"/>
  <c r="AQ72" i="16"/>
  <c r="AQ24" i="16"/>
  <c r="AG25" i="16"/>
  <c r="AP23" i="16"/>
  <c r="AE24" i="16"/>
  <c r="AH457" i="16" l="1"/>
  <c r="AI457" i="16"/>
  <c r="AH113" i="16"/>
  <c r="AI113" i="16"/>
  <c r="AH72" i="16"/>
  <c r="AI72" i="16"/>
  <c r="AH328" i="16"/>
  <c r="AI328" i="16"/>
  <c r="AI285" i="16"/>
  <c r="AH285" i="16"/>
  <c r="AH242" i="16"/>
  <c r="AI242" i="16"/>
  <c r="AH371" i="16"/>
  <c r="AI371" i="16"/>
  <c r="AH24" i="16"/>
  <c r="AI24" i="16"/>
  <c r="AH414" i="16"/>
  <c r="AI414" i="16"/>
  <c r="AH199" i="16"/>
  <c r="AI199" i="16"/>
  <c r="AH156" i="16"/>
  <c r="AI156" i="16"/>
  <c r="AH501" i="16"/>
  <c r="AI501" i="16"/>
  <c r="AQ556" i="16"/>
  <c r="AQ579" i="16"/>
  <c r="AN241" i="16"/>
  <c r="AN500" i="16"/>
  <c r="AN198" i="16"/>
  <c r="AN370" i="16"/>
  <c r="AN413" i="16"/>
  <c r="AN284" i="16"/>
  <c r="AN327" i="16"/>
  <c r="AE415" i="16"/>
  <c r="AP414" i="16"/>
  <c r="AP457" i="16"/>
  <c r="AE458" i="16"/>
  <c r="AE157" i="16"/>
  <c r="AP156" i="16"/>
  <c r="AE286" i="16"/>
  <c r="AP285" i="16"/>
  <c r="AP501" i="16"/>
  <c r="AE502" i="16"/>
  <c r="AE372" i="16"/>
  <c r="AP371" i="16"/>
  <c r="AP113" i="16"/>
  <c r="AE114" i="16"/>
  <c r="AN155" i="16"/>
  <c r="AP199" i="16"/>
  <c r="AE200" i="16"/>
  <c r="AP242" i="16"/>
  <c r="AE243" i="16"/>
  <c r="AN71" i="16"/>
  <c r="AN112" i="16"/>
  <c r="AP328" i="16"/>
  <c r="AE329" i="16"/>
  <c r="AN456" i="16"/>
  <c r="AG513" i="16"/>
  <c r="AQ512" i="16"/>
  <c r="AG491" i="16"/>
  <c r="AQ490" i="16"/>
  <c r="AQ469" i="16"/>
  <c r="AG470" i="16"/>
  <c r="AQ447" i="16"/>
  <c r="AG448" i="16"/>
  <c r="AQ425" i="16"/>
  <c r="AG426" i="16"/>
  <c r="AG403" i="16"/>
  <c r="AQ402" i="16"/>
  <c r="AQ381" i="16"/>
  <c r="AG382" i="16"/>
  <c r="AQ338" i="16"/>
  <c r="AG359" i="16"/>
  <c r="AQ358" i="16"/>
  <c r="AG316" i="16"/>
  <c r="AQ315" i="16"/>
  <c r="AG293" i="16"/>
  <c r="AQ292" i="16"/>
  <c r="AQ249" i="16"/>
  <c r="AG250" i="16"/>
  <c r="AG271" i="16"/>
  <c r="AQ270" i="16"/>
  <c r="AQ206" i="16"/>
  <c r="AG227" i="16"/>
  <c r="AQ226" i="16"/>
  <c r="AG184" i="16"/>
  <c r="AQ183" i="16"/>
  <c r="AQ161" i="16"/>
  <c r="AG162" i="16"/>
  <c r="AG140" i="16"/>
  <c r="AQ139" i="16"/>
  <c r="AQ117" i="16"/>
  <c r="AG118" i="16"/>
  <c r="AE73" i="16"/>
  <c r="AE75" i="16"/>
  <c r="AP72" i="16"/>
  <c r="AQ73" i="16"/>
  <c r="AG74" i="16"/>
  <c r="AG96" i="16"/>
  <c r="AQ95" i="16"/>
  <c r="AQ25" i="16"/>
  <c r="AG26" i="16"/>
  <c r="AP24" i="16"/>
  <c r="AE25" i="16"/>
  <c r="AH415" i="16" l="1"/>
  <c r="AI415" i="16"/>
  <c r="AH25" i="16"/>
  <c r="AI25" i="16"/>
  <c r="AH329" i="16"/>
  <c r="AI329" i="16"/>
  <c r="AI286" i="16"/>
  <c r="AH286" i="16"/>
  <c r="AH372" i="16"/>
  <c r="AI372" i="16"/>
  <c r="AH502" i="16"/>
  <c r="AI502" i="16"/>
  <c r="AH114" i="16"/>
  <c r="AI114" i="16"/>
  <c r="AH73" i="16"/>
  <c r="AI73" i="16"/>
  <c r="AH157" i="16"/>
  <c r="AI157" i="16"/>
  <c r="AH75" i="16"/>
  <c r="AI75" i="16"/>
  <c r="AH458" i="16"/>
  <c r="AI458" i="16"/>
  <c r="AH243" i="16"/>
  <c r="AI243" i="16"/>
  <c r="AH200" i="16"/>
  <c r="AI200" i="16"/>
  <c r="AQ580" i="16"/>
  <c r="AQ557" i="16"/>
  <c r="AN457" i="16"/>
  <c r="AN328" i="16"/>
  <c r="AN242" i="16"/>
  <c r="AN501" i="16"/>
  <c r="AN156" i="16"/>
  <c r="AN285" i="16"/>
  <c r="AN199" i="16"/>
  <c r="AE201" i="16"/>
  <c r="AP200" i="16"/>
  <c r="AE373" i="16"/>
  <c r="AP372" i="16"/>
  <c r="AP458" i="16"/>
  <c r="AE459" i="16"/>
  <c r="AN371" i="16"/>
  <c r="AP286" i="16"/>
  <c r="AE287" i="16"/>
  <c r="AN113" i="16"/>
  <c r="AE244" i="16"/>
  <c r="AP243" i="16"/>
  <c r="AE503" i="16"/>
  <c r="AP502" i="16"/>
  <c r="AN414" i="16"/>
  <c r="AE330" i="16"/>
  <c r="AP329" i="16"/>
  <c r="AP114" i="16"/>
  <c r="AE115" i="16"/>
  <c r="AP157" i="16"/>
  <c r="AE158" i="16"/>
  <c r="AE416" i="16"/>
  <c r="AP415" i="16"/>
  <c r="AQ513" i="16"/>
  <c r="AG514" i="16"/>
  <c r="AG492" i="16"/>
  <c r="AQ491" i="16"/>
  <c r="AQ470" i="16"/>
  <c r="AQ448" i="16"/>
  <c r="AQ426" i="16"/>
  <c r="AQ382" i="16"/>
  <c r="AG404" i="16"/>
  <c r="AQ403" i="16"/>
  <c r="AG360" i="16"/>
  <c r="AQ359" i="16"/>
  <c r="AQ316" i="16"/>
  <c r="AQ293" i="16"/>
  <c r="AG294" i="16"/>
  <c r="AG272" i="16"/>
  <c r="AQ271" i="16"/>
  <c r="AQ250" i="16"/>
  <c r="AG228" i="16"/>
  <c r="AQ227" i="16"/>
  <c r="AQ162" i="16"/>
  <c r="AQ184" i="16"/>
  <c r="AQ118" i="16"/>
  <c r="AQ140" i="16"/>
  <c r="AE74" i="16"/>
  <c r="AP73" i="16"/>
  <c r="AQ96" i="16"/>
  <c r="AN72" i="16"/>
  <c r="AE76" i="16"/>
  <c r="AP75" i="16"/>
  <c r="AQ74" i="16"/>
  <c r="AQ26" i="16"/>
  <c r="AG27" i="16"/>
  <c r="AP25" i="16"/>
  <c r="AE26" i="16"/>
  <c r="AH26" i="16" l="1"/>
  <c r="AI26" i="16"/>
  <c r="AI287" i="16"/>
  <c r="AH287" i="16"/>
  <c r="AH330" i="16"/>
  <c r="AI330" i="16"/>
  <c r="AH416" i="16"/>
  <c r="AI416" i="16"/>
  <c r="AH459" i="16"/>
  <c r="AI459" i="16"/>
  <c r="AH158" i="16"/>
  <c r="AI158" i="16"/>
  <c r="AH503" i="16"/>
  <c r="AI503" i="16"/>
  <c r="AH201" i="16"/>
  <c r="AI201" i="16"/>
  <c r="AH74" i="16"/>
  <c r="AI74" i="16"/>
  <c r="AH76" i="16"/>
  <c r="AI76" i="16"/>
  <c r="AH115" i="16"/>
  <c r="AI115" i="16"/>
  <c r="AH244" i="16"/>
  <c r="AI244" i="16"/>
  <c r="AH373" i="16"/>
  <c r="AI373" i="16"/>
  <c r="AQ558" i="16"/>
  <c r="AN502" i="16"/>
  <c r="AN157" i="16"/>
  <c r="AN243" i="16"/>
  <c r="AN114" i="16"/>
  <c r="AN286" i="16"/>
  <c r="AN372" i="16"/>
  <c r="AN200" i="16"/>
  <c r="AN458" i="16"/>
  <c r="AP201" i="16"/>
  <c r="AE202" i="16"/>
  <c r="AP416" i="16"/>
  <c r="AE417" i="16"/>
  <c r="AP287" i="16"/>
  <c r="AE288" i="16"/>
  <c r="AE159" i="16"/>
  <c r="AP158" i="16"/>
  <c r="AE504" i="16"/>
  <c r="AP503" i="16"/>
  <c r="AN329" i="16"/>
  <c r="AP373" i="16"/>
  <c r="AE374" i="16"/>
  <c r="AP330" i="16"/>
  <c r="AE331" i="16"/>
  <c r="AE460" i="16"/>
  <c r="AP459" i="16"/>
  <c r="AN415" i="16"/>
  <c r="AE116" i="16"/>
  <c r="AP115" i="16"/>
  <c r="AE245" i="16"/>
  <c r="AP244" i="16"/>
  <c r="AN73" i="16"/>
  <c r="AQ514" i="16"/>
  <c r="AQ492" i="16"/>
  <c r="AQ404" i="16"/>
  <c r="AQ360" i="16"/>
  <c r="AQ294" i="16"/>
  <c r="AQ272" i="16"/>
  <c r="AQ228" i="16"/>
  <c r="AN75" i="16"/>
  <c r="AP76" i="16"/>
  <c r="AE77" i="16"/>
  <c r="AP74" i="16"/>
  <c r="AQ27" i="16"/>
  <c r="AG28" i="16"/>
  <c r="AP26" i="16"/>
  <c r="AE27" i="16"/>
  <c r="AH202" i="16" l="1"/>
  <c r="AI202" i="16"/>
  <c r="AH504" i="16"/>
  <c r="AI504" i="16"/>
  <c r="AH460" i="16"/>
  <c r="AI460" i="16"/>
  <c r="AH159" i="16"/>
  <c r="AI159" i="16"/>
  <c r="AH27" i="16"/>
  <c r="AI27" i="16"/>
  <c r="AI288" i="16"/>
  <c r="AH288" i="16"/>
  <c r="AH245" i="16"/>
  <c r="AI245" i="16"/>
  <c r="AH374" i="16"/>
  <c r="AI374" i="16"/>
  <c r="AH77" i="16"/>
  <c r="AI77" i="16"/>
  <c r="AH331" i="16"/>
  <c r="AI331" i="16"/>
  <c r="AH417" i="16"/>
  <c r="AI417" i="16"/>
  <c r="AH116" i="16"/>
  <c r="AI116" i="16"/>
  <c r="AN416" i="16"/>
  <c r="AN373" i="16"/>
  <c r="AN158" i="16"/>
  <c r="AN503" i="16"/>
  <c r="AN287" i="16"/>
  <c r="AN201" i="16"/>
  <c r="AN330" i="16"/>
  <c r="AE505" i="16"/>
  <c r="AP504" i="16"/>
  <c r="AE246" i="16"/>
  <c r="AP245" i="16"/>
  <c r="AN459" i="16"/>
  <c r="AE418" i="16"/>
  <c r="AP417" i="16"/>
  <c r="AE160" i="16"/>
  <c r="AP159" i="16"/>
  <c r="AP460" i="16"/>
  <c r="AE461" i="16"/>
  <c r="AN115" i="16"/>
  <c r="AP202" i="16"/>
  <c r="AE203" i="16"/>
  <c r="AE117" i="16"/>
  <c r="AE119" i="16"/>
  <c r="AP116" i="16"/>
  <c r="AP331" i="16"/>
  <c r="AE332" i="16"/>
  <c r="AE289" i="16"/>
  <c r="AP288" i="16"/>
  <c r="AN244" i="16"/>
  <c r="AE375" i="16"/>
  <c r="AP374" i="16"/>
  <c r="AN74" i="16"/>
  <c r="AE78" i="16"/>
  <c r="AP77" i="16"/>
  <c r="AN76" i="16"/>
  <c r="AQ28" i="16"/>
  <c r="AG29" i="16"/>
  <c r="AP27" i="16"/>
  <c r="AE28" i="16"/>
  <c r="AI28" i="16" s="1"/>
  <c r="AI289" i="16" l="1"/>
  <c r="AH289" i="16"/>
  <c r="AH246" i="16"/>
  <c r="AI246" i="16"/>
  <c r="AH78" i="16"/>
  <c r="AI78" i="16"/>
  <c r="AH505" i="16"/>
  <c r="AI505" i="16"/>
  <c r="AH203" i="16"/>
  <c r="AI203" i="16"/>
  <c r="AH418" i="16"/>
  <c r="AI418" i="16"/>
  <c r="AH332" i="16"/>
  <c r="AI332" i="16"/>
  <c r="AH461" i="16"/>
  <c r="AI461" i="16"/>
  <c r="AH119" i="16"/>
  <c r="AI119" i="16"/>
  <c r="AH160" i="16"/>
  <c r="AI160" i="16"/>
  <c r="AH375" i="16"/>
  <c r="AI375" i="16"/>
  <c r="AH117" i="16"/>
  <c r="AI117" i="16"/>
  <c r="AE29" i="16"/>
  <c r="AH28" i="16"/>
  <c r="AN116" i="16"/>
  <c r="AN159" i="16"/>
  <c r="AN417" i="16"/>
  <c r="AN202" i="16"/>
  <c r="AN245" i="16"/>
  <c r="AN504" i="16"/>
  <c r="AN288" i="16"/>
  <c r="AE333" i="16"/>
  <c r="AP332" i="16"/>
  <c r="AN374" i="16"/>
  <c r="AN331" i="16"/>
  <c r="AE161" i="16"/>
  <c r="AE163" i="16"/>
  <c r="AP160" i="16"/>
  <c r="AE290" i="16"/>
  <c r="AP289" i="16"/>
  <c r="AE462" i="16"/>
  <c r="AP461" i="16"/>
  <c r="AE376" i="16"/>
  <c r="AP375" i="16"/>
  <c r="AP418" i="16"/>
  <c r="AE419" i="16"/>
  <c r="AN460" i="16"/>
  <c r="AP246" i="16"/>
  <c r="AE247" i="16"/>
  <c r="AP119" i="16"/>
  <c r="AE120" i="16"/>
  <c r="AE204" i="16"/>
  <c r="AP203" i="16"/>
  <c r="AE118" i="16"/>
  <c r="AP117" i="16"/>
  <c r="AP505" i="16"/>
  <c r="AE506" i="16"/>
  <c r="AN77" i="16"/>
  <c r="AP78" i="16"/>
  <c r="AE79" i="16"/>
  <c r="AE30" i="16"/>
  <c r="AQ29" i="16"/>
  <c r="AG30" i="16"/>
  <c r="AP28" i="16"/>
  <c r="AE31" i="16"/>
  <c r="AH506" i="16" l="1"/>
  <c r="AI506" i="16"/>
  <c r="AH462" i="16"/>
  <c r="AI462" i="16"/>
  <c r="AI290" i="16"/>
  <c r="AH290" i="16"/>
  <c r="AH29" i="16"/>
  <c r="AN29" i="16" s="1"/>
  <c r="AI29" i="16"/>
  <c r="AP29" i="16"/>
  <c r="AH118" i="16"/>
  <c r="AI118" i="16"/>
  <c r="AH419" i="16"/>
  <c r="AI419" i="16"/>
  <c r="AH376" i="16"/>
  <c r="AI376" i="16"/>
  <c r="AH120" i="16"/>
  <c r="AI120" i="16"/>
  <c r="AH31" i="16"/>
  <c r="AI31" i="16"/>
  <c r="AH247" i="16"/>
  <c r="AI247" i="16"/>
  <c r="AH333" i="16"/>
  <c r="AI333" i="16"/>
  <c r="AH30" i="16"/>
  <c r="AI30" i="16"/>
  <c r="AH163" i="16"/>
  <c r="AI163" i="16"/>
  <c r="AH79" i="16"/>
  <c r="AI79" i="16"/>
  <c r="AH204" i="16"/>
  <c r="AI204" i="16"/>
  <c r="AH161" i="16"/>
  <c r="AI161" i="16"/>
  <c r="AN119" i="16"/>
  <c r="AN418" i="16"/>
  <c r="AN461" i="16"/>
  <c r="AN289" i="16"/>
  <c r="AN160" i="16"/>
  <c r="AN332" i="16"/>
  <c r="AN246" i="16"/>
  <c r="AE420" i="16"/>
  <c r="AP419" i="16"/>
  <c r="AP506" i="16"/>
  <c r="AE507" i="16"/>
  <c r="AE248" i="16"/>
  <c r="AP247" i="16"/>
  <c r="AE463" i="16"/>
  <c r="AP462" i="16"/>
  <c r="AE207" i="16"/>
  <c r="AE205" i="16"/>
  <c r="AP204" i="16"/>
  <c r="AE162" i="16"/>
  <c r="AP161" i="16"/>
  <c r="AN505" i="16"/>
  <c r="AN203" i="16"/>
  <c r="AE377" i="16"/>
  <c r="AP376" i="16"/>
  <c r="AN375" i="16"/>
  <c r="AP290" i="16"/>
  <c r="AE291" i="16"/>
  <c r="AN117" i="16"/>
  <c r="AP120" i="16"/>
  <c r="AE121" i="16"/>
  <c r="AE164" i="16"/>
  <c r="AP163" i="16"/>
  <c r="AP333" i="16"/>
  <c r="AE334" i="16"/>
  <c r="AP118" i="16"/>
  <c r="AN78" i="16"/>
  <c r="AE80" i="16"/>
  <c r="AP79" i="16"/>
  <c r="AP30" i="16"/>
  <c r="AQ30" i="16"/>
  <c r="AP31" i="16"/>
  <c r="AE32" i="16"/>
  <c r="AI291" i="16" l="1"/>
  <c r="AH291" i="16"/>
  <c r="AH334" i="16"/>
  <c r="AI334" i="16"/>
  <c r="AH205" i="16"/>
  <c r="AI205" i="16"/>
  <c r="AH207" i="16"/>
  <c r="AI207" i="16"/>
  <c r="AH420" i="16"/>
  <c r="AI420" i="16"/>
  <c r="AH164" i="16"/>
  <c r="AI164" i="16"/>
  <c r="AH377" i="16"/>
  <c r="AI377" i="16"/>
  <c r="AH248" i="16"/>
  <c r="AI248" i="16"/>
  <c r="AH32" i="16"/>
  <c r="AI32" i="16"/>
  <c r="AH162" i="16"/>
  <c r="AI162" i="16"/>
  <c r="AH507" i="16"/>
  <c r="AI507" i="16"/>
  <c r="AH121" i="16"/>
  <c r="AI121" i="16"/>
  <c r="AH463" i="16"/>
  <c r="AI463" i="16"/>
  <c r="AH80" i="16"/>
  <c r="AI80" i="16"/>
  <c r="AN120" i="16"/>
  <c r="AN419" i="16"/>
  <c r="AN204" i="16"/>
  <c r="AN333" i="16"/>
  <c r="AN506" i="16"/>
  <c r="AN163" i="16"/>
  <c r="AN290" i="16"/>
  <c r="AN247" i="16"/>
  <c r="AN376" i="16"/>
  <c r="AN462" i="16"/>
  <c r="AE122" i="16"/>
  <c r="AP121" i="16"/>
  <c r="AN79" i="16"/>
  <c r="AP507" i="16"/>
  <c r="AE508" i="16"/>
  <c r="AP162" i="16"/>
  <c r="AE464" i="16"/>
  <c r="AP463" i="16"/>
  <c r="AN118" i="16"/>
  <c r="AE165" i="16"/>
  <c r="AP164" i="16"/>
  <c r="AP291" i="16"/>
  <c r="AE292" i="16"/>
  <c r="AE378" i="16"/>
  <c r="AP377" i="16"/>
  <c r="AE206" i="16"/>
  <c r="AP205" i="16"/>
  <c r="AP334" i="16"/>
  <c r="AE335" i="16"/>
  <c r="AN161" i="16"/>
  <c r="AP207" i="16"/>
  <c r="AE208" i="16"/>
  <c r="AE249" i="16"/>
  <c r="AE251" i="16"/>
  <c r="AP248" i="16"/>
  <c r="AP420" i="16"/>
  <c r="AE421" i="16"/>
  <c r="AP80" i="16"/>
  <c r="AE81" i="16"/>
  <c r="AN30" i="16"/>
  <c r="AP32" i="16"/>
  <c r="AE33" i="16"/>
  <c r="AH208" i="16" l="1"/>
  <c r="AI208" i="16"/>
  <c r="AH378" i="16"/>
  <c r="AI378" i="16"/>
  <c r="AH508" i="16"/>
  <c r="AI508" i="16"/>
  <c r="AH421" i="16"/>
  <c r="AI421" i="16"/>
  <c r="AH335" i="16"/>
  <c r="AI335" i="16"/>
  <c r="AH165" i="16"/>
  <c r="AI165" i="16"/>
  <c r="AH464" i="16"/>
  <c r="AI464" i="16"/>
  <c r="AH81" i="16"/>
  <c r="AI81" i="16"/>
  <c r="AI292" i="16"/>
  <c r="AH292" i="16"/>
  <c r="AH122" i="16"/>
  <c r="AI122" i="16"/>
  <c r="AH33" i="16"/>
  <c r="AI33" i="16"/>
  <c r="AH251" i="16"/>
  <c r="AI251" i="16"/>
  <c r="AH206" i="16"/>
  <c r="AI206" i="16"/>
  <c r="AH249" i="16"/>
  <c r="AI249" i="16"/>
  <c r="AN377" i="16"/>
  <c r="AN291" i="16"/>
  <c r="AN164" i="16"/>
  <c r="AN463" i="16"/>
  <c r="AP206" i="16"/>
  <c r="AN507" i="16"/>
  <c r="AE336" i="16"/>
  <c r="AP335" i="16"/>
  <c r="AP421" i="16"/>
  <c r="AE422" i="16"/>
  <c r="AE250" i="16"/>
  <c r="AP249" i="16"/>
  <c r="AN334" i="16"/>
  <c r="AE465" i="16"/>
  <c r="AP464" i="16"/>
  <c r="AE252" i="16"/>
  <c r="AP251" i="16"/>
  <c r="AN420" i="16"/>
  <c r="AP208" i="16"/>
  <c r="AE209" i="16"/>
  <c r="AP165" i="16"/>
  <c r="AE166" i="16"/>
  <c r="AN162" i="16"/>
  <c r="AP378" i="16"/>
  <c r="AE379" i="16"/>
  <c r="AP292" i="16"/>
  <c r="AE293" i="16"/>
  <c r="AE295" i="16"/>
  <c r="AN121" i="16"/>
  <c r="AN248" i="16"/>
  <c r="AN207" i="16"/>
  <c r="AN205" i="16"/>
  <c r="AE509" i="16"/>
  <c r="AP508" i="16"/>
  <c r="AE123" i="16"/>
  <c r="AP122" i="16"/>
  <c r="AE82" i="16"/>
  <c r="AP81" i="16"/>
  <c r="AN80" i="16"/>
  <c r="AP33" i="16"/>
  <c r="AE34" i="16"/>
  <c r="AH34" i="16" l="1"/>
  <c r="AI34" i="16"/>
  <c r="AH252" i="16"/>
  <c r="AI252" i="16"/>
  <c r="AH465" i="16"/>
  <c r="AI465" i="16"/>
  <c r="AH82" i="16"/>
  <c r="AI82" i="16"/>
  <c r="AI295" i="16"/>
  <c r="AH295" i="16"/>
  <c r="AH209" i="16"/>
  <c r="AI209" i="16"/>
  <c r="AH379" i="16"/>
  <c r="AI379" i="16"/>
  <c r="AH166" i="16"/>
  <c r="AI166" i="16"/>
  <c r="AH123" i="16"/>
  <c r="AI123" i="16"/>
  <c r="AI293" i="16"/>
  <c r="AH293" i="16"/>
  <c r="AH250" i="16"/>
  <c r="AI250" i="16"/>
  <c r="AH422" i="16"/>
  <c r="AI422" i="16"/>
  <c r="AH509" i="16"/>
  <c r="AI509" i="16"/>
  <c r="AH336" i="16"/>
  <c r="AI336" i="16"/>
  <c r="AN208" i="16"/>
  <c r="AN122" i="16"/>
  <c r="AN378" i="16"/>
  <c r="AN335" i="16"/>
  <c r="AN464" i="16"/>
  <c r="AN292" i="16"/>
  <c r="AN421" i="16"/>
  <c r="AP379" i="16"/>
  <c r="AE380" i="16"/>
  <c r="AN165" i="16"/>
  <c r="AN251" i="16"/>
  <c r="AE124" i="16"/>
  <c r="AP123" i="16"/>
  <c r="AP250" i="16"/>
  <c r="AE210" i="16"/>
  <c r="AP209" i="16"/>
  <c r="AE253" i="16"/>
  <c r="AP252" i="16"/>
  <c r="AN249" i="16"/>
  <c r="AE294" i="16"/>
  <c r="AP293" i="16"/>
  <c r="AE466" i="16"/>
  <c r="AP465" i="16"/>
  <c r="AE510" i="16"/>
  <c r="AP509" i="16"/>
  <c r="AE339" i="16"/>
  <c r="AE337" i="16"/>
  <c r="AP336" i="16"/>
  <c r="AN206" i="16"/>
  <c r="AP295" i="16"/>
  <c r="AE296" i="16"/>
  <c r="AN508" i="16"/>
  <c r="AE423" i="16"/>
  <c r="AP422" i="16"/>
  <c r="AE167" i="16"/>
  <c r="AP166" i="16"/>
  <c r="AP82" i="16"/>
  <c r="AE83" i="16"/>
  <c r="AN81" i="16"/>
  <c r="AP34" i="16"/>
  <c r="AE35" i="16"/>
  <c r="AH35" i="16" l="1"/>
  <c r="AI35" i="16"/>
  <c r="AH423" i="16"/>
  <c r="AI423" i="16"/>
  <c r="AH253" i="16"/>
  <c r="AI253" i="16"/>
  <c r="AH380" i="16"/>
  <c r="AI380" i="16"/>
  <c r="AH510" i="16"/>
  <c r="AI510" i="16"/>
  <c r="AI294" i="16"/>
  <c r="AH294" i="16"/>
  <c r="AH124" i="16"/>
  <c r="AI124" i="16"/>
  <c r="AI296" i="16"/>
  <c r="AH296" i="16"/>
  <c r="AH210" i="16"/>
  <c r="AI210" i="16"/>
  <c r="AH83" i="16"/>
  <c r="AI83" i="16"/>
  <c r="AH466" i="16"/>
  <c r="AI466" i="16"/>
  <c r="AH167" i="16"/>
  <c r="AI167" i="16"/>
  <c r="AH337" i="16"/>
  <c r="AI337" i="16"/>
  <c r="AH339" i="16"/>
  <c r="AI339" i="16"/>
  <c r="AN166" i="16"/>
  <c r="AN336" i="16"/>
  <c r="AN209" i="16"/>
  <c r="AN509" i="16"/>
  <c r="AN82" i="16"/>
  <c r="AN252" i="16"/>
  <c r="AN295" i="16"/>
  <c r="AN422" i="16"/>
  <c r="AN465" i="16"/>
  <c r="AN293" i="16"/>
  <c r="AN379" i="16"/>
  <c r="AE511" i="16"/>
  <c r="AP510" i="16"/>
  <c r="AP294" i="16"/>
  <c r="AE125" i="16"/>
  <c r="AP124" i="16"/>
  <c r="AE211" i="16"/>
  <c r="AP210" i="16"/>
  <c r="AN123" i="16"/>
  <c r="AE297" i="16"/>
  <c r="AP296" i="16"/>
  <c r="AE338" i="16"/>
  <c r="AP337" i="16"/>
  <c r="AP466" i="16"/>
  <c r="AE467" i="16"/>
  <c r="AP339" i="16"/>
  <c r="AE340" i="16"/>
  <c r="AE168" i="16"/>
  <c r="AP167" i="16"/>
  <c r="AN250" i="16"/>
  <c r="AE381" i="16"/>
  <c r="AE383" i="16"/>
  <c r="AP380" i="16"/>
  <c r="AE424" i="16"/>
  <c r="AP423" i="16"/>
  <c r="AP253" i="16"/>
  <c r="AE254" i="16"/>
  <c r="AE84" i="16"/>
  <c r="AP83" i="16"/>
  <c r="AP35" i="16"/>
  <c r="AE36" i="16"/>
  <c r="AH211" i="16" l="1"/>
  <c r="AI211" i="16"/>
  <c r="AH383" i="16"/>
  <c r="AI383" i="16"/>
  <c r="AH381" i="16"/>
  <c r="AI381" i="16"/>
  <c r="AH125" i="16"/>
  <c r="AI125" i="16"/>
  <c r="AH84" i="16"/>
  <c r="AI84" i="16"/>
  <c r="AH168" i="16"/>
  <c r="AI168" i="16"/>
  <c r="AI297" i="16"/>
  <c r="AH297" i="16"/>
  <c r="AH511" i="16"/>
  <c r="AI511" i="16"/>
  <c r="AH36" i="16"/>
  <c r="AI36" i="16"/>
  <c r="AH467" i="16"/>
  <c r="AI467" i="16"/>
  <c r="AH338" i="16"/>
  <c r="AI338" i="16"/>
  <c r="AH254" i="16"/>
  <c r="AI254" i="16"/>
  <c r="AH340" i="16"/>
  <c r="AI340" i="16"/>
  <c r="AH424" i="16"/>
  <c r="AI424" i="16"/>
  <c r="AN380" i="16"/>
  <c r="AN466" i="16"/>
  <c r="AN253" i="16"/>
  <c r="AN296" i="16"/>
  <c r="AN339" i="16"/>
  <c r="AN423" i="16"/>
  <c r="AP338" i="16"/>
  <c r="AN210" i="16"/>
  <c r="AN294" i="16"/>
  <c r="AP340" i="16"/>
  <c r="AE341" i="16"/>
  <c r="AE427" i="16"/>
  <c r="AP424" i="16"/>
  <c r="AE425" i="16"/>
  <c r="AP211" i="16"/>
  <c r="AE212" i="16"/>
  <c r="AP254" i="16"/>
  <c r="AE255" i="16"/>
  <c r="AN167" i="16"/>
  <c r="AN124" i="16"/>
  <c r="AN510" i="16"/>
  <c r="AP168" i="16"/>
  <c r="AE169" i="16"/>
  <c r="AE468" i="16"/>
  <c r="AP467" i="16"/>
  <c r="AE384" i="16"/>
  <c r="AP383" i="16"/>
  <c r="AP297" i="16"/>
  <c r="AE298" i="16"/>
  <c r="AE512" i="16"/>
  <c r="AP511" i="16"/>
  <c r="AE382" i="16"/>
  <c r="AP381" i="16"/>
  <c r="AE126" i="16"/>
  <c r="AP125" i="16"/>
  <c r="AN337" i="16"/>
  <c r="AP84" i="16"/>
  <c r="AE85" i="16"/>
  <c r="AN83" i="16"/>
  <c r="AP36" i="16"/>
  <c r="AE37" i="16"/>
  <c r="AH468" i="16" l="1"/>
  <c r="AI468" i="16"/>
  <c r="AH169" i="16"/>
  <c r="AI169" i="16"/>
  <c r="AH427" i="16"/>
  <c r="AI427" i="16"/>
  <c r="AH37" i="16"/>
  <c r="AI37" i="16"/>
  <c r="AH382" i="16"/>
  <c r="AI382" i="16"/>
  <c r="AH212" i="16"/>
  <c r="AI212" i="16"/>
  <c r="AH85" i="16"/>
  <c r="AI85" i="16"/>
  <c r="AH512" i="16"/>
  <c r="AI512" i="16"/>
  <c r="AH425" i="16"/>
  <c r="AI425" i="16"/>
  <c r="AI298" i="16"/>
  <c r="AH298" i="16"/>
  <c r="AH341" i="16"/>
  <c r="AI341" i="16"/>
  <c r="AH126" i="16"/>
  <c r="AI126" i="16"/>
  <c r="AH384" i="16"/>
  <c r="AI384" i="16"/>
  <c r="AH255" i="16"/>
  <c r="AI255" i="16"/>
  <c r="AN383" i="16"/>
  <c r="AN254" i="16"/>
  <c r="AN297" i="16"/>
  <c r="AN211" i="16"/>
  <c r="AN424" i="16"/>
  <c r="AN168" i="16"/>
  <c r="AN125" i="16"/>
  <c r="AP382" i="16"/>
  <c r="AN381" i="16"/>
  <c r="AN340" i="16"/>
  <c r="AN511" i="16"/>
  <c r="AE426" i="16"/>
  <c r="AP425" i="16"/>
  <c r="AE299" i="16"/>
  <c r="AP298" i="16"/>
  <c r="AP212" i="16"/>
  <c r="AE213" i="16"/>
  <c r="AE342" i="16"/>
  <c r="AP341" i="16"/>
  <c r="AE170" i="16"/>
  <c r="AP169" i="16"/>
  <c r="AE256" i="16"/>
  <c r="AP255" i="16"/>
  <c r="AP384" i="16"/>
  <c r="AE385" i="16"/>
  <c r="AE428" i="16"/>
  <c r="AP427" i="16"/>
  <c r="AE127" i="16"/>
  <c r="AP126" i="16"/>
  <c r="AE515" i="16"/>
  <c r="AP512" i="16"/>
  <c r="AE513" i="16"/>
  <c r="AN338" i="16"/>
  <c r="AN467" i="16"/>
  <c r="AE471" i="16"/>
  <c r="AP468" i="16"/>
  <c r="AE469" i="16"/>
  <c r="AE86" i="16"/>
  <c r="AP85" i="16"/>
  <c r="AN84" i="16"/>
  <c r="AP37" i="16"/>
  <c r="AE38" i="16"/>
  <c r="AH513" i="16" l="1"/>
  <c r="AI513" i="16"/>
  <c r="AH86" i="16"/>
  <c r="AI86" i="16"/>
  <c r="AH256" i="16"/>
  <c r="AI256" i="16"/>
  <c r="AH127" i="16"/>
  <c r="AI127" i="16"/>
  <c r="AH170" i="16"/>
  <c r="AI170" i="16"/>
  <c r="AH426" i="16"/>
  <c r="AI426" i="16"/>
  <c r="AH385" i="16"/>
  <c r="AI385" i="16"/>
  <c r="AH213" i="16"/>
  <c r="AI213" i="16"/>
  <c r="AH515" i="16"/>
  <c r="AI515" i="16"/>
  <c r="AI299" i="16"/>
  <c r="AH299" i="16"/>
  <c r="AH469" i="16"/>
  <c r="AI469" i="16"/>
  <c r="AH471" i="16"/>
  <c r="AI471" i="16"/>
  <c r="AH38" i="16"/>
  <c r="AI38" i="16"/>
  <c r="AH428" i="16"/>
  <c r="AI428" i="16"/>
  <c r="AH342" i="16"/>
  <c r="AI342" i="16"/>
  <c r="AN384" i="16"/>
  <c r="AN212" i="16"/>
  <c r="AN255" i="16"/>
  <c r="AN427" i="16"/>
  <c r="AN341" i="16"/>
  <c r="AN298" i="16"/>
  <c r="AN468" i="16"/>
  <c r="AN512" i="16"/>
  <c r="AE514" i="16"/>
  <c r="AP513" i="16"/>
  <c r="AP127" i="16"/>
  <c r="AE128" i="16"/>
  <c r="AE171" i="16"/>
  <c r="AP170" i="16"/>
  <c r="AP426" i="16"/>
  <c r="AP469" i="16"/>
  <c r="AE470" i="16"/>
  <c r="AP299" i="16"/>
  <c r="AE300" i="16"/>
  <c r="AE343" i="16"/>
  <c r="AP342" i="16"/>
  <c r="AE472" i="16"/>
  <c r="AP471" i="16"/>
  <c r="AP428" i="16"/>
  <c r="AE429" i="16"/>
  <c r="AP256" i="16"/>
  <c r="AE257" i="16"/>
  <c r="AE516" i="16"/>
  <c r="AP515" i="16"/>
  <c r="AN169" i="16"/>
  <c r="AE386" i="16"/>
  <c r="AP385" i="16"/>
  <c r="AE214" i="16"/>
  <c r="AP213" i="16"/>
  <c r="AN425" i="16"/>
  <c r="AN382" i="16"/>
  <c r="AN126" i="16"/>
  <c r="AN85" i="16"/>
  <c r="AP86" i="16"/>
  <c r="AE87" i="16"/>
  <c r="AP38" i="16"/>
  <c r="AE39" i="16"/>
  <c r="AH472" i="16" l="1"/>
  <c r="AI472" i="16"/>
  <c r="AH516" i="16"/>
  <c r="AI516" i="16"/>
  <c r="AH128" i="16"/>
  <c r="AI128" i="16"/>
  <c r="AI300" i="16"/>
  <c r="AH300" i="16"/>
  <c r="AH39" i="16"/>
  <c r="AI39" i="16"/>
  <c r="AH386" i="16"/>
  <c r="AI386" i="16"/>
  <c r="AH171" i="16"/>
  <c r="AN171" i="16" s="1"/>
  <c r="AI171" i="16"/>
  <c r="AH343" i="16"/>
  <c r="AI343" i="16"/>
  <c r="AH257" i="16"/>
  <c r="AI257" i="16"/>
  <c r="AH214" i="16"/>
  <c r="AI214" i="16"/>
  <c r="AH429" i="16"/>
  <c r="AI429" i="16"/>
  <c r="AH470" i="16"/>
  <c r="AI470" i="16"/>
  <c r="AH514" i="16"/>
  <c r="AI514" i="16"/>
  <c r="AH87" i="16"/>
  <c r="AI87" i="16"/>
  <c r="AN299" i="16"/>
  <c r="AN127" i="16"/>
  <c r="AN256" i="16"/>
  <c r="AN170" i="16"/>
  <c r="AN428" i="16"/>
  <c r="AN513" i="16"/>
  <c r="AN385" i="16"/>
  <c r="AN515" i="16"/>
  <c r="AN342" i="16"/>
  <c r="AE129" i="16"/>
  <c r="AP128" i="16"/>
  <c r="AN426" i="16"/>
  <c r="AP257" i="16"/>
  <c r="AE258" i="16"/>
  <c r="AP300" i="16"/>
  <c r="AE301" i="16"/>
  <c r="AN471" i="16"/>
  <c r="AE387" i="16"/>
  <c r="AP386" i="16"/>
  <c r="AE473" i="16"/>
  <c r="AP472" i="16"/>
  <c r="AP214" i="16"/>
  <c r="AE215" i="16"/>
  <c r="AN469" i="16"/>
  <c r="AP429" i="16"/>
  <c r="AE430" i="16"/>
  <c r="AP470" i="16"/>
  <c r="AP514" i="16"/>
  <c r="AN213" i="16"/>
  <c r="AP516" i="16"/>
  <c r="AE517" i="16"/>
  <c r="AE344" i="16"/>
  <c r="AP343" i="16"/>
  <c r="AP171" i="16"/>
  <c r="AE172" i="16"/>
  <c r="AE88" i="16"/>
  <c r="AP87" i="16"/>
  <c r="AN86" i="16"/>
  <c r="AP39" i="16"/>
  <c r="AE40" i="16"/>
  <c r="AN516" i="16" l="1"/>
  <c r="AI301" i="16"/>
  <c r="AH301" i="16"/>
  <c r="AH215" i="16"/>
  <c r="AI215" i="16"/>
  <c r="AH88" i="16"/>
  <c r="AI88" i="16"/>
  <c r="AH258" i="16"/>
  <c r="AI258" i="16"/>
  <c r="AH172" i="16"/>
  <c r="AI172" i="16"/>
  <c r="AH473" i="16"/>
  <c r="AI473" i="16"/>
  <c r="AH344" i="16"/>
  <c r="AI344" i="16"/>
  <c r="AH517" i="16"/>
  <c r="AI517" i="16"/>
  <c r="AH40" i="16"/>
  <c r="AI40" i="16"/>
  <c r="AH430" i="16"/>
  <c r="AI430" i="16"/>
  <c r="AH387" i="16"/>
  <c r="AI387" i="16"/>
  <c r="AH129" i="16"/>
  <c r="AI129" i="16"/>
  <c r="AN386" i="16"/>
  <c r="AN214" i="16"/>
  <c r="AN300" i="16"/>
  <c r="AN472" i="16"/>
  <c r="AN257" i="16"/>
  <c r="AN343" i="16"/>
  <c r="AP387" i="16"/>
  <c r="AE388" i="16"/>
  <c r="AN128" i="16"/>
  <c r="AN514" i="16"/>
  <c r="AN429" i="16"/>
  <c r="AE345" i="16"/>
  <c r="AP344" i="16"/>
  <c r="AE474" i="16"/>
  <c r="AP473" i="16"/>
  <c r="AE173" i="16"/>
  <c r="AP172" i="16"/>
  <c r="AE518" i="16"/>
  <c r="AP517" i="16"/>
  <c r="AE302" i="16"/>
  <c r="AP301" i="16"/>
  <c r="AN470" i="16"/>
  <c r="AP215" i="16"/>
  <c r="AE216" i="16"/>
  <c r="AE431" i="16"/>
  <c r="AP430" i="16"/>
  <c r="AP258" i="16"/>
  <c r="AE259" i="16"/>
  <c r="AP129" i="16"/>
  <c r="AE130" i="16"/>
  <c r="AN87" i="16"/>
  <c r="AP88" i="16"/>
  <c r="AE89" i="16"/>
  <c r="AP40" i="16"/>
  <c r="AE41" i="16"/>
  <c r="AH41" i="16" l="1"/>
  <c r="AI41" i="16"/>
  <c r="AH518" i="16"/>
  <c r="AI518" i="16"/>
  <c r="AH89" i="16"/>
  <c r="AI89" i="16"/>
  <c r="AH431" i="16"/>
  <c r="AI431" i="16"/>
  <c r="AH216" i="16"/>
  <c r="AI216" i="16"/>
  <c r="AH173" i="16"/>
  <c r="AI173" i="16"/>
  <c r="AH388" i="16"/>
  <c r="AI388" i="16"/>
  <c r="AH259" i="16"/>
  <c r="AI259" i="16"/>
  <c r="AI302" i="16"/>
  <c r="AH302" i="16"/>
  <c r="AH345" i="16"/>
  <c r="AI345" i="16"/>
  <c r="AH130" i="16"/>
  <c r="AI130" i="16"/>
  <c r="AH474" i="16"/>
  <c r="AI474" i="16"/>
  <c r="AN172" i="16"/>
  <c r="AN344" i="16"/>
  <c r="AN430" i="16"/>
  <c r="AN301" i="16"/>
  <c r="AN387" i="16"/>
  <c r="AN258" i="16"/>
  <c r="AN129" i="16"/>
  <c r="AN517" i="16"/>
  <c r="AP518" i="16"/>
  <c r="AE519" i="16"/>
  <c r="AE131" i="16"/>
  <c r="AP130" i="16"/>
  <c r="AP474" i="16"/>
  <c r="AE475" i="16"/>
  <c r="AP431" i="16"/>
  <c r="AE432" i="16"/>
  <c r="AE174" i="16"/>
  <c r="AP173" i="16"/>
  <c r="AE346" i="16"/>
  <c r="AP345" i="16"/>
  <c r="AE389" i="16"/>
  <c r="AP388" i="16"/>
  <c r="AP216" i="16"/>
  <c r="AE217" i="16"/>
  <c r="AP259" i="16"/>
  <c r="AE260" i="16"/>
  <c r="AE303" i="16"/>
  <c r="AP302" i="16"/>
  <c r="AN215" i="16"/>
  <c r="AN473" i="16"/>
  <c r="AE90" i="16"/>
  <c r="AP89" i="16"/>
  <c r="AN88" i="16"/>
  <c r="AP41" i="16"/>
  <c r="AE42" i="16"/>
  <c r="AI303" i="16" l="1"/>
  <c r="AH303" i="16"/>
  <c r="AH260" i="16"/>
  <c r="AI260" i="16"/>
  <c r="AH519" i="16"/>
  <c r="AI519" i="16"/>
  <c r="AH174" i="16"/>
  <c r="AI174" i="16"/>
  <c r="AH217" i="16"/>
  <c r="AI217" i="16"/>
  <c r="AH432" i="16"/>
  <c r="AI432" i="16"/>
  <c r="AH389" i="16"/>
  <c r="AI389" i="16"/>
  <c r="AH42" i="16"/>
  <c r="AI42" i="16"/>
  <c r="AH346" i="16"/>
  <c r="AI346" i="16"/>
  <c r="AH131" i="16"/>
  <c r="AI131" i="16"/>
  <c r="AH90" i="16"/>
  <c r="AI90" i="16"/>
  <c r="AH475" i="16"/>
  <c r="AI475" i="16"/>
  <c r="AN130" i="16"/>
  <c r="AN388" i="16"/>
  <c r="AN474" i="16"/>
  <c r="AN518" i="16"/>
  <c r="AN216" i="16"/>
  <c r="AN302" i="16"/>
  <c r="AN431" i="16"/>
  <c r="AN345" i="16"/>
  <c r="AN173" i="16"/>
  <c r="AP432" i="16"/>
  <c r="AE433" i="16"/>
  <c r="AP346" i="16"/>
  <c r="AE347" i="16"/>
  <c r="AE304" i="16"/>
  <c r="AP303" i="16"/>
  <c r="AE132" i="16"/>
  <c r="AP131" i="16"/>
  <c r="AN89" i="16"/>
  <c r="AN259" i="16"/>
  <c r="AP475" i="16"/>
  <c r="AE476" i="16"/>
  <c r="AP260" i="16"/>
  <c r="AE261" i="16"/>
  <c r="AE390" i="16"/>
  <c r="AP389" i="16"/>
  <c r="AE175" i="16"/>
  <c r="AP174" i="16"/>
  <c r="AE520" i="16"/>
  <c r="AP519" i="16"/>
  <c r="AE218" i="16"/>
  <c r="AP217" i="16"/>
  <c r="AP90" i="16"/>
  <c r="AE91" i="16"/>
  <c r="AP42" i="16"/>
  <c r="AE43" i="16"/>
  <c r="AH476" i="16" l="1"/>
  <c r="AI476" i="16"/>
  <c r="AH433" i="16"/>
  <c r="AI433" i="16"/>
  <c r="AH91" i="16"/>
  <c r="AI91" i="16"/>
  <c r="AH390" i="16"/>
  <c r="AI390" i="16"/>
  <c r="AH132" i="16"/>
  <c r="AI132" i="16"/>
  <c r="AH347" i="16"/>
  <c r="AI347" i="16"/>
  <c r="AH520" i="16"/>
  <c r="AI520" i="16"/>
  <c r="AH43" i="16"/>
  <c r="AI43" i="16"/>
  <c r="AH175" i="16"/>
  <c r="AI175" i="16"/>
  <c r="AH261" i="16"/>
  <c r="AI261" i="16"/>
  <c r="AH218" i="16"/>
  <c r="AI218" i="16"/>
  <c r="AI304" i="16"/>
  <c r="AH304" i="16"/>
  <c r="AN174" i="16"/>
  <c r="AN346" i="16"/>
  <c r="AN217" i="16"/>
  <c r="AN389" i="16"/>
  <c r="AN432" i="16"/>
  <c r="AN303" i="16"/>
  <c r="AN475" i="16"/>
  <c r="AP218" i="16"/>
  <c r="AE219" i="16"/>
  <c r="AE133" i="16"/>
  <c r="AP132" i="16"/>
  <c r="AP347" i="16"/>
  <c r="AE348" i="16"/>
  <c r="AE391" i="16"/>
  <c r="AP390" i="16"/>
  <c r="AP476" i="16"/>
  <c r="AE477" i="16"/>
  <c r="AN131" i="16"/>
  <c r="AE521" i="16"/>
  <c r="AP520" i="16"/>
  <c r="AN519" i="16"/>
  <c r="AP433" i="16"/>
  <c r="AE434" i="16"/>
  <c r="AE262" i="16"/>
  <c r="AP261" i="16"/>
  <c r="AE305" i="16"/>
  <c r="AP304" i="16"/>
  <c r="AE176" i="16"/>
  <c r="AP175" i="16"/>
  <c r="AN260" i="16"/>
  <c r="AN90" i="16"/>
  <c r="AE92" i="16"/>
  <c r="AP91" i="16"/>
  <c r="AP43" i="16"/>
  <c r="AE44" i="16"/>
  <c r="AH176" i="16" l="1"/>
  <c r="AI176" i="16"/>
  <c r="AH44" i="16"/>
  <c r="AI44" i="16"/>
  <c r="AH521" i="16"/>
  <c r="AI521" i="16"/>
  <c r="AH133" i="16"/>
  <c r="AI133" i="16"/>
  <c r="AH219" i="16"/>
  <c r="AI219" i="16"/>
  <c r="AH92" i="16"/>
  <c r="AI92" i="16"/>
  <c r="AH262" i="16"/>
  <c r="AI262" i="16"/>
  <c r="AH348" i="16"/>
  <c r="AI348" i="16"/>
  <c r="AI305" i="16"/>
  <c r="AH305" i="16"/>
  <c r="AH477" i="16"/>
  <c r="AI477" i="16"/>
  <c r="AH434" i="16"/>
  <c r="AI434" i="16"/>
  <c r="AH391" i="16"/>
  <c r="AI391" i="16"/>
  <c r="AN390" i="16"/>
  <c r="AN132" i="16"/>
  <c r="AN347" i="16"/>
  <c r="AN218" i="16"/>
  <c r="AN304" i="16"/>
  <c r="AN476" i="16"/>
  <c r="AN175" i="16"/>
  <c r="AE177" i="16"/>
  <c r="AP176" i="16"/>
  <c r="AP262" i="16"/>
  <c r="AE263" i="16"/>
  <c r="AP434" i="16"/>
  <c r="AE435" i="16"/>
  <c r="AE522" i="16"/>
  <c r="AP521" i="16"/>
  <c r="AE392" i="16"/>
  <c r="AP391" i="16"/>
  <c r="AE134" i="16"/>
  <c r="AP133" i="16"/>
  <c r="AE220" i="16"/>
  <c r="AP219" i="16"/>
  <c r="AP305" i="16"/>
  <c r="AE306" i="16"/>
  <c r="AN433" i="16"/>
  <c r="AE478" i="16"/>
  <c r="AP477" i="16"/>
  <c r="AE349" i="16"/>
  <c r="AP348" i="16"/>
  <c r="AN261" i="16"/>
  <c r="AN520" i="16"/>
  <c r="AN91" i="16"/>
  <c r="AP92" i="16"/>
  <c r="AE93" i="16"/>
  <c r="AP44" i="16"/>
  <c r="AE45" i="16"/>
  <c r="AH435" i="16" l="1"/>
  <c r="AI435" i="16"/>
  <c r="AH45" i="16"/>
  <c r="AI45" i="16"/>
  <c r="AH349" i="16"/>
  <c r="AI349" i="16"/>
  <c r="AH263" i="16"/>
  <c r="AI263" i="16"/>
  <c r="AH93" i="16"/>
  <c r="AI93" i="16"/>
  <c r="AH392" i="16"/>
  <c r="AI392" i="16"/>
  <c r="AH177" i="16"/>
  <c r="AI177" i="16"/>
  <c r="AH220" i="16"/>
  <c r="AI220" i="16"/>
  <c r="AH134" i="16"/>
  <c r="AI134" i="16"/>
  <c r="AH478" i="16"/>
  <c r="AI478" i="16"/>
  <c r="AI306" i="16"/>
  <c r="AH306" i="16"/>
  <c r="AH522" i="16"/>
  <c r="AI522" i="16"/>
  <c r="AN305" i="16"/>
  <c r="AN133" i="16"/>
  <c r="AN434" i="16"/>
  <c r="AN521" i="16"/>
  <c r="AN391" i="16"/>
  <c r="AN176" i="16"/>
  <c r="AN348" i="16"/>
  <c r="AP349" i="16"/>
  <c r="AE350" i="16"/>
  <c r="AE307" i="16"/>
  <c r="AP306" i="16"/>
  <c r="AP263" i="16"/>
  <c r="AE264" i="16"/>
  <c r="AE135" i="16"/>
  <c r="AP134" i="16"/>
  <c r="AP522" i="16"/>
  <c r="AE523" i="16"/>
  <c r="AN477" i="16"/>
  <c r="AE479" i="16"/>
  <c r="AP478" i="16"/>
  <c r="AN219" i="16"/>
  <c r="AP392" i="16"/>
  <c r="AE393" i="16"/>
  <c r="AE436" i="16"/>
  <c r="AP435" i="16"/>
  <c r="AP177" i="16"/>
  <c r="AE178" i="16"/>
  <c r="AP220" i="16"/>
  <c r="AE221" i="16"/>
  <c r="AN262" i="16"/>
  <c r="AE94" i="16"/>
  <c r="AP93" i="16"/>
  <c r="AN92" i="16"/>
  <c r="AP45" i="16"/>
  <c r="AE46" i="16"/>
  <c r="AH178" i="16" l="1"/>
  <c r="AI178" i="16"/>
  <c r="AH523" i="16"/>
  <c r="AI523" i="16"/>
  <c r="AH350" i="16"/>
  <c r="AI350" i="16"/>
  <c r="AH436" i="16"/>
  <c r="AI436" i="16"/>
  <c r="AH221" i="16"/>
  <c r="AI221" i="16"/>
  <c r="AH264" i="16"/>
  <c r="AI264" i="16"/>
  <c r="AH46" i="16"/>
  <c r="AI46" i="16"/>
  <c r="AH479" i="16"/>
  <c r="AI479" i="16"/>
  <c r="AI307" i="16"/>
  <c r="AH307" i="16"/>
  <c r="AH94" i="16"/>
  <c r="AI94" i="16"/>
  <c r="AH393" i="16"/>
  <c r="AI393" i="16"/>
  <c r="AH135" i="16"/>
  <c r="AI135" i="16"/>
  <c r="AN306" i="16"/>
  <c r="AN435" i="16"/>
  <c r="AN263" i="16"/>
  <c r="AN392" i="16"/>
  <c r="AN522" i="16"/>
  <c r="AN349" i="16"/>
  <c r="AE437" i="16"/>
  <c r="AP436" i="16"/>
  <c r="AE480" i="16"/>
  <c r="AP479" i="16"/>
  <c r="AE179" i="16"/>
  <c r="AP178" i="16"/>
  <c r="AE394" i="16"/>
  <c r="AP393" i="16"/>
  <c r="AN478" i="16"/>
  <c r="AE136" i="16"/>
  <c r="AP135" i="16"/>
  <c r="AP350" i="16"/>
  <c r="AE351" i="16"/>
  <c r="AE308" i="16"/>
  <c r="AP307" i="16"/>
  <c r="AN177" i="16"/>
  <c r="AP264" i="16"/>
  <c r="AE265" i="16"/>
  <c r="AN220" i="16"/>
  <c r="AE524" i="16"/>
  <c r="AP523" i="16"/>
  <c r="AE222" i="16"/>
  <c r="AP221" i="16"/>
  <c r="AN134" i="16"/>
  <c r="AN93" i="16"/>
  <c r="AP94" i="16"/>
  <c r="AE95" i="16"/>
  <c r="AP46" i="16"/>
  <c r="AE47" i="16"/>
  <c r="AH394" i="16" l="1"/>
  <c r="AI394" i="16"/>
  <c r="AI308" i="16"/>
  <c r="AH308" i="16"/>
  <c r="AH47" i="16"/>
  <c r="AI47" i="16"/>
  <c r="AH351" i="16"/>
  <c r="AI351" i="16"/>
  <c r="AH179" i="16"/>
  <c r="AI179" i="16"/>
  <c r="AH95" i="16"/>
  <c r="AI95" i="16"/>
  <c r="AH480" i="16"/>
  <c r="AI480" i="16"/>
  <c r="AH265" i="16"/>
  <c r="AI265" i="16"/>
  <c r="AH136" i="16"/>
  <c r="AI136" i="16"/>
  <c r="AH222" i="16"/>
  <c r="AI222" i="16"/>
  <c r="AH524" i="16"/>
  <c r="AI524" i="16"/>
  <c r="AH437" i="16"/>
  <c r="AI437" i="16"/>
  <c r="AN264" i="16"/>
  <c r="AN135" i="16"/>
  <c r="AN178" i="16"/>
  <c r="AN94" i="16"/>
  <c r="AN307" i="16"/>
  <c r="AN393" i="16"/>
  <c r="AN221" i="16"/>
  <c r="AN479" i="16"/>
  <c r="AP222" i="16"/>
  <c r="AE223" i="16"/>
  <c r="AN350" i="16"/>
  <c r="AN523" i="16"/>
  <c r="AP394" i="16"/>
  <c r="AE395" i="16"/>
  <c r="AE481" i="16"/>
  <c r="AP480" i="16"/>
  <c r="AE525" i="16"/>
  <c r="AP524" i="16"/>
  <c r="AP265" i="16"/>
  <c r="AE266" i="16"/>
  <c r="AE309" i="16"/>
  <c r="AP308" i="16"/>
  <c r="AP136" i="16"/>
  <c r="AE137" i="16"/>
  <c r="AE438" i="16"/>
  <c r="AP437" i="16"/>
  <c r="AP351" i="16"/>
  <c r="AE352" i="16"/>
  <c r="AP179" i="16"/>
  <c r="AE180" i="16"/>
  <c r="AN436" i="16"/>
  <c r="AE96" i="16"/>
  <c r="AP95" i="16"/>
  <c r="AP47" i="16"/>
  <c r="AE48" i="16"/>
  <c r="AI309" i="16" l="1"/>
  <c r="AH309" i="16"/>
  <c r="AH352" i="16"/>
  <c r="AI352" i="16"/>
  <c r="AH266" i="16"/>
  <c r="AI266" i="16"/>
  <c r="AH438" i="16"/>
  <c r="AI438" i="16"/>
  <c r="AH525" i="16"/>
  <c r="AI525" i="16"/>
  <c r="AH96" i="16"/>
  <c r="AI96" i="16"/>
  <c r="AH137" i="16"/>
  <c r="AI137" i="16"/>
  <c r="AH48" i="16"/>
  <c r="AI48" i="16"/>
  <c r="AH223" i="16"/>
  <c r="AI223" i="16"/>
  <c r="AH481" i="16"/>
  <c r="AI481" i="16"/>
  <c r="AH180" i="16"/>
  <c r="AI180" i="16"/>
  <c r="AH395" i="16"/>
  <c r="AI395" i="16"/>
  <c r="AN437" i="16"/>
  <c r="AN308" i="16"/>
  <c r="AN222" i="16"/>
  <c r="AN480" i="16"/>
  <c r="AN265" i="16"/>
  <c r="AN179" i="16"/>
  <c r="AN524" i="16"/>
  <c r="AE439" i="16"/>
  <c r="AP438" i="16"/>
  <c r="AE526" i="16"/>
  <c r="AP525" i="16"/>
  <c r="AP180" i="16"/>
  <c r="AE181" i="16"/>
  <c r="AP309" i="16"/>
  <c r="AE310" i="16"/>
  <c r="AP266" i="16"/>
  <c r="AE267" i="16"/>
  <c r="AN351" i="16"/>
  <c r="AE138" i="16"/>
  <c r="AP137" i="16"/>
  <c r="AN136" i="16"/>
  <c r="AE353" i="16"/>
  <c r="AP352" i="16"/>
  <c r="AE482" i="16"/>
  <c r="AP481" i="16"/>
  <c r="AE396" i="16"/>
  <c r="AP395" i="16"/>
  <c r="AP223" i="16"/>
  <c r="AE224" i="16"/>
  <c r="AN394" i="16"/>
  <c r="AP96" i="16"/>
  <c r="AN95" i="16"/>
  <c r="AP48" i="16"/>
  <c r="AE49" i="16"/>
  <c r="AH138" i="16" l="1"/>
  <c r="AI138" i="16"/>
  <c r="AH396" i="16"/>
  <c r="AI396" i="16"/>
  <c r="AH526" i="16"/>
  <c r="AI526" i="16"/>
  <c r="AH267" i="16"/>
  <c r="AI267" i="16"/>
  <c r="AH482" i="16"/>
  <c r="AI482" i="16"/>
  <c r="AH439" i="16"/>
  <c r="AI439" i="16"/>
  <c r="AH224" i="16"/>
  <c r="AI224" i="16"/>
  <c r="AH181" i="16"/>
  <c r="AI181" i="16"/>
  <c r="AH49" i="16"/>
  <c r="AI49" i="16"/>
  <c r="AI310" i="16"/>
  <c r="AH310" i="16"/>
  <c r="AH353" i="16"/>
  <c r="AI353" i="16"/>
  <c r="AN309" i="16"/>
  <c r="AN137" i="16"/>
  <c r="AN223" i="16"/>
  <c r="AP482" i="16"/>
  <c r="AE483" i="16"/>
  <c r="AP310" i="16"/>
  <c r="AE311" i="16"/>
  <c r="AE139" i="16"/>
  <c r="AP138" i="16"/>
  <c r="AN525" i="16"/>
  <c r="AP526" i="16"/>
  <c r="AE527" i="16"/>
  <c r="AP396" i="16"/>
  <c r="AE397" i="16"/>
  <c r="AE354" i="16"/>
  <c r="AP353" i="16"/>
  <c r="AP267" i="16"/>
  <c r="AE268" i="16"/>
  <c r="AN395" i="16"/>
  <c r="AN352" i="16"/>
  <c r="AE182" i="16"/>
  <c r="AP181" i="16"/>
  <c r="AP224" i="16"/>
  <c r="AE225" i="16"/>
  <c r="AN481" i="16"/>
  <c r="AN180" i="16"/>
  <c r="AP439" i="16"/>
  <c r="AE440" i="16"/>
  <c r="AN266" i="16"/>
  <c r="AN438" i="16"/>
  <c r="AN96" i="16"/>
  <c r="AP49" i="16"/>
  <c r="AE50" i="16"/>
  <c r="AI50" i="16" s="1"/>
  <c r="AH440" i="16" l="1"/>
  <c r="AI440" i="16"/>
  <c r="AH527" i="16"/>
  <c r="AI527" i="16"/>
  <c r="AH268" i="16"/>
  <c r="AI268" i="16"/>
  <c r="AH354" i="16"/>
  <c r="AI354" i="16"/>
  <c r="AI311" i="16"/>
  <c r="AH311" i="16"/>
  <c r="AH397" i="16"/>
  <c r="AI397" i="16"/>
  <c r="AH182" i="16"/>
  <c r="AI182" i="16"/>
  <c r="AH483" i="16"/>
  <c r="AI483" i="16"/>
  <c r="AH225" i="16"/>
  <c r="AI225" i="16"/>
  <c r="AH139" i="16"/>
  <c r="AI139" i="16"/>
  <c r="AE51" i="16"/>
  <c r="AH50" i="16"/>
  <c r="AN482" i="16"/>
  <c r="AN396" i="16"/>
  <c r="AN138" i="16"/>
  <c r="AN181" i="16"/>
  <c r="AN310" i="16"/>
  <c r="AN439" i="16"/>
  <c r="AN224" i="16"/>
  <c r="AP225" i="16"/>
  <c r="AE226" i="16"/>
  <c r="AP354" i="16"/>
  <c r="AE355" i="16"/>
  <c r="AP268" i="16"/>
  <c r="AE269" i="16"/>
  <c r="AE398" i="16"/>
  <c r="AP397" i="16"/>
  <c r="AP440" i="16"/>
  <c r="AE441" i="16"/>
  <c r="AE484" i="16"/>
  <c r="AP483" i="16"/>
  <c r="AN267" i="16"/>
  <c r="AE528" i="16"/>
  <c r="AP527" i="16"/>
  <c r="AE140" i="16"/>
  <c r="AP139" i="16"/>
  <c r="AP182" i="16"/>
  <c r="AE183" i="16"/>
  <c r="AN353" i="16"/>
  <c r="AN526" i="16"/>
  <c r="AE312" i="16"/>
  <c r="AP311" i="16"/>
  <c r="AE52" i="16"/>
  <c r="AP50" i="16"/>
  <c r="AH140" i="16" l="1"/>
  <c r="AI140" i="16"/>
  <c r="AI312" i="16"/>
  <c r="AH312" i="16"/>
  <c r="AH528" i="16"/>
  <c r="AI528" i="16"/>
  <c r="AH269" i="16"/>
  <c r="AI269" i="16"/>
  <c r="AH355" i="16"/>
  <c r="AI355" i="16"/>
  <c r="AH183" i="16"/>
  <c r="AI183" i="16"/>
  <c r="AH484" i="16"/>
  <c r="AI484" i="16"/>
  <c r="AH52" i="16"/>
  <c r="AI52" i="16"/>
  <c r="AH51" i="16"/>
  <c r="AN51" i="16" s="1"/>
  <c r="AI51" i="16"/>
  <c r="AH398" i="16"/>
  <c r="AI398" i="16"/>
  <c r="AH441" i="16"/>
  <c r="AI441" i="16"/>
  <c r="AH226" i="16"/>
  <c r="AI226" i="16"/>
  <c r="AP51" i="16"/>
  <c r="AN440" i="16"/>
  <c r="AN483" i="16"/>
  <c r="AN311" i="16"/>
  <c r="AN139" i="16"/>
  <c r="AN354" i="16"/>
  <c r="AP484" i="16"/>
  <c r="AE485" i="16"/>
  <c r="AP398" i="16"/>
  <c r="AE399" i="16"/>
  <c r="AE356" i="16"/>
  <c r="AP355" i="16"/>
  <c r="AP183" i="16"/>
  <c r="AE184" i="16"/>
  <c r="AN182" i="16"/>
  <c r="AP528" i="16"/>
  <c r="AE529" i="16"/>
  <c r="AP441" i="16"/>
  <c r="AE442" i="16"/>
  <c r="AE270" i="16"/>
  <c r="AP269" i="16"/>
  <c r="AN527" i="16"/>
  <c r="AN268" i="16"/>
  <c r="AN225" i="16"/>
  <c r="AP226" i="16"/>
  <c r="AE227" i="16"/>
  <c r="AP312" i="16"/>
  <c r="AE313" i="16"/>
  <c r="AP140" i="16"/>
  <c r="AN397" i="16"/>
  <c r="AP52" i="16"/>
  <c r="AH399" i="16" l="1"/>
  <c r="AI399" i="16"/>
  <c r="AH529" i="16"/>
  <c r="AI529" i="16"/>
  <c r="AH485" i="16"/>
  <c r="AI485" i="16"/>
  <c r="AI313" i="16"/>
  <c r="AH313" i="16"/>
  <c r="AH270" i="16"/>
  <c r="AI270" i="16"/>
  <c r="AH442" i="16"/>
  <c r="AI442" i="16"/>
  <c r="AH356" i="16"/>
  <c r="AI356" i="16"/>
  <c r="AH227" i="16"/>
  <c r="AI227" i="16"/>
  <c r="AH184" i="16"/>
  <c r="AI184" i="16"/>
  <c r="AN441" i="16"/>
  <c r="AN312" i="16"/>
  <c r="AN226" i="16"/>
  <c r="AN528" i="16"/>
  <c r="AN269" i="16"/>
  <c r="AN398" i="16"/>
  <c r="AE530" i="16"/>
  <c r="AP529" i="16"/>
  <c r="AN183" i="16"/>
  <c r="AE486" i="16"/>
  <c r="AP485" i="16"/>
  <c r="AP270" i="16"/>
  <c r="AE271" i="16"/>
  <c r="AP356" i="16"/>
  <c r="AE357" i="16"/>
  <c r="AN484" i="16"/>
  <c r="AN140" i="16"/>
  <c r="AE443" i="16"/>
  <c r="AP442" i="16"/>
  <c r="AN355" i="16"/>
  <c r="AE228" i="16"/>
  <c r="AP227" i="16"/>
  <c r="AE400" i="16"/>
  <c r="AP399" i="16"/>
  <c r="AP313" i="16"/>
  <c r="AE314" i="16"/>
  <c r="AP184" i="16"/>
  <c r="AN52" i="16"/>
  <c r="AH443" i="16" l="1"/>
  <c r="AN443" i="16" s="1"/>
  <c r="AI443" i="16"/>
  <c r="AH486" i="16"/>
  <c r="AI486" i="16"/>
  <c r="AH530" i="16"/>
  <c r="AI530" i="16"/>
  <c r="AI314" i="16"/>
  <c r="AH314" i="16"/>
  <c r="AH400" i="16"/>
  <c r="AI400" i="16"/>
  <c r="AH357" i="16"/>
  <c r="AI357" i="16"/>
  <c r="AH228" i="16"/>
  <c r="AI228" i="16"/>
  <c r="AH271" i="16"/>
  <c r="AI271" i="16"/>
  <c r="AN356" i="16"/>
  <c r="AN485" i="16"/>
  <c r="AN313" i="16"/>
  <c r="AN270" i="16"/>
  <c r="AN529" i="16"/>
  <c r="AN399" i="16"/>
  <c r="AN442" i="16"/>
  <c r="AN184" i="16"/>
  <c r="AE401" i="16"/>
  <c r="AP400" i="16"/>
  <c r="AE444" i="16"/>
  <c r="AP443" i="16"/>
  <c r="AP271" i="16"/>
  <c r="AE272" i="16"/>
  <c r="AN227" i="16"/>
  <c r="AE315" i="16"/>
  <c r="AP314" i="16"/>
  <c r="AP228" i="16"/>
  <c r="AE358" i="16"/>
  <c r="AP357" i="16"/>
  <c r="AE487" i="16"/>
  <c r="AP486" i="16"/>
  <c r="AP530" i="16"/>
  <c r="AE531" i="16"/>
  <c r="B1" i="16" a="1"/>
  <c r="B1" i="16" s="1"/>
  <c r="EI8" i="16"/>
  <c r="AH358" i="16" l="1"/>
  <c r="AI358" i="16"/>
  <c r="AH444" i="16"/>
  <c r="AI444" i="16"/>
  <c r="AH531" i="16"/>
  <c r="AN531" i="16" s="1"/>
  <c r="AI531" i="16"/>
  <c r="AI315" i="16"/>
  <c r="AH315" i="16"/>
  <c r="AH401" i="16"/>
  <c r="AI401" i="16"/>
  <c r="AH272" i="16"/>
  <c r="AI272" i="16"/>
  <c r="AH487" i="16"/>
  <c r="AI487" i="16"/>
  <c r="AN400" i="16"/>
  <c r="AN314" i="16"/>
  <c r="AP272" i="16"/>
  <c r="AP487" i="16"/>
  <c r="AE488" i="16"/>
  <c r="AN271" i="16"/>
  <c r="AN486" i="16"/>
  <c r="AP444" i="16"/>
  <c r="AE445" i="16"/>
  <c r="AN228" i="16"/>
  <c r="AE532" i="16"/>
  <c r="AP531" i="16"/>
  <c r="AN530" i="16"/>
  <c r="AN357" i="16"/>
  <c r="AP401" i="16"/>
  <c r="AE402" i="16"/>
  <c r="AE316" i="16"/>
  <c r="AP315" i="16"/>
  <c r="AP358" i="16"/>
  <c r="AE359" i="16"/>
  <c r="A27" i="3" a="1"/>
  <c r="A27" i="3" s="1"/>
  <c r="A25" i="3" a="1"/>
  <c r="A25" i="3" s="1"/>
  <c r="B1" i="12" a="1"/>
  <c r="B1" i="12" s="1"/>
  <c r="AH359" i="16" l="1"/>
  <c r="AI359" i="16"/>
  <c r="AH488" i="16"/>
  <c r="AN488" i="16" s="1"/>
  <c r="AI488" i="16"/>
  <c r="AH532" i="16"/>
  <c r="AI532" i="16"/>
  <c r="AI316" i="16"/>
  <c r="AH316" i="16"/>
  <c r="AH402" i="16"/>
  <c r="AI402" i="16"/>
  <c r="AH445" i="16"/>
  <c r="AI445" i="16"/>
  <c r="K14" i="12"/>
  <c r="K15" i="12"/>
  <c r="K16" i="12"/>
  <c r="K17" i="12"/>
  <c r="K18" i="12"/>
  <c r="K19" i="12"/>
  <c r="GG11" i="16" a="1"/>
  <c r="GG11" i="16" s="1"/>
  <c r="GM11" i="16" a="1"/>
  <c r="GM11" i="16" s="1"/>
  <c r="GF11" i="16" a="1"/>
  <c r="GF11" i="16" s="1"/>
  <c r="GL11" i="16" a="1"/>
  <c r="GL11" i="16" s="1"/>
  <c r="K13" i="12"/>
  <c r="AE489" i="16"/>
  <c r="AP488" i="16"/>
  <c r="AE446" i="16"/>
  <c r="AP445" i="16"/>
  <c r="AN444" i="16"/>
  <c r="AN487" i="16"/>
  <c r="AN315" i="16"/>
  <c r="AN272" i="16"/>
  <c r="AN358" i="16"/>
  <c r="AP402" i="16"/>
  <c r="AE403" i="16"/>
  <c r="AP316" i="16"/>
  <c r="AE360" i="16"/>
  <c r="AP359" i="16"/>
  <c r="AN401" i="16"/>
  <c r="AP532" i="16"/>
  <c r="AE533" i="16"/>
  <c r="C25" i="3"/>
  <c r="B56" i="7" a="1"/>
  <c r="B56" i="7" s="1"/>
  <c r="B1" i="9" a="1"/>
  <c r="B1" i="9" s="1"/>
  <c r="A30" i="3" a="1"/>
  <c r="A30" i="3" s="1"/>
  <c r="C30" i="3" s="1"/>
  <c r="B40" i="4" a="1"/>
  <c r="B40" i="4" s="1"/>
  <c r="B1" i="4" a="1"/>
  <c r="B1" i="4" s="1"/>
  <c r="D30" i="3" a="1"/>
  <c r="D25" i="3" a="1"/>
  <c r="AH533" i="16" l="1"/>
  <c r="AI533" i="16"/>
  <c r="AH489" i="16"/>
  <c r="AI489" i="16"/>
  <c r="AH360" i="16"/>
  <c r="AI360" i="16"/>
  <c r="AH403" i="16"/>
  <c r="AI403" i="16"/>
  <c r="AH446" i="16"/>
  <c r="AI446" i="16"/>
  <c r="GH11" i="16" a="1"/>
  <c r="GH11" i="16" s="1"/>
  <c r="GJ11" i="16" s="1" a="1"/>
  <c r="GJ11" i="16" s="1"/>
  <c r="GI11" i="16" a="1"/>
  <c r="GI11" i="16" s="1"/>
  <c r="GK11" i="16" s="1" a="1"/>
  <c r="GK11" i="16" s="1"/>
  <c r="AN532" i="16"/>
  <c r="AE534" i="16"/>
  <c r="AP533" i="16"/>
  <c r="AN359" i="16"/>
  <c r="AP360" i="16"/>
  <c r="AN445" i="16"/>
  <c r="AN316" i="16"/>
  <c r="AP446" i="16"/>
  <c r="AE447" i="16"/>
  <c r="AN402" i="16"/>
  <c r="AE404" i="16"/>
  <c r="AP403" i="16"/>
  <c r="AP489" i="16"/>
  <c r="AE490" i="16"/>
  <c r="D25" i="3"/>
  <c r="D30" i="3"/>
  <c r="AH404" i="16" l="1"/>
  <c r="AI404" i="16"/>
  <c r="AH534" i="16"/>
  <c r="AI534" i="16"/>
  <c r="AH447" i="16"/>
  <c r="AI447" i="16"/>
  <c r="AH490" i="16"/>
  <c r="AI490" i="16"/>
  <c r="AN446" i="16"/>
  <c r="AN489" i="16"/>
  <c r="AE491" i="16"/>
  <c r="AP490" i="16"/>
  <c r="AN533" i="16"/>
  <c r="AE448" i="16"/>
  <c r="AP447" i="16"/>
  <c r="AP404" i="16"/>
  <c r="AN403" i="16"/>
  <c r="AP534" i="16"/>
  <c r="AE535" i="16"/>
  <c r="AN360" i="16"/>
  <c r="AN11" i="16"/>
  <c r="AN12" i="16"/>
  <c r="AN13" i="16"/>
  <c r="AN14" i="16"/>
  <c r="AN15" i="16"/>
  <c r="AN16" i="16"/>
  <c r="AN17" i="16"/>
  <c r="AN18" i="16"/>
  <c r="AN19" i="16"/>
  <c r="AN20" i="16"/>
  <c r="AN21" i="16"/>
  <c r="AN22" i="16"/>
  <c r="AN23" i="16"/>
  <c r="AN24" i="16"/>
  <c r="AN25" i="16"/>
  <c r="AN26" i="16"/>
  <c r="AN27" i="16"/>
  <c r="AN28" i="16"/>
  <c r="AN33" i="16"/>
  <c r="AN34" i="16"/>
  <c r="AN35" i="16"/>
  <c r="AN36" i="16"/>
  <c r="AN37" i="16"/>
  <c r="AN38" i="16"/>
  <c r="AN39" i="16"/>
  <c r="AN40" i="16"/>
  <c r="AN41" i="16"/>
  <c r="AN42" i="16"/>
  <c r="AN43" i="16"/>
  <c r="AN44" i="16"/>
  <c r="AN45" i="16"/>
  <c r="AN46" i="16"/>
  <c r="AN47" i="16"/>
  <c r="AN48" i="16"/>
  <c r="AN49" i="16"/>
  <c r="AN50" i="16"/>
  <c r="AH448" i="16" l="1"/>
  <c r="AI448" i="16"/>
  <c r="AH535" i="16"/>
  <c r="AI535" i="16"/>
  <c r="AH491" i="16"/>
  <c r="AI491" i="16"/>
  <c r="AN534" i="16"/>
  <c r="AN490" i="16"/>
  <c r="AP448" i="16"/>
  <c r="AN447" i="16"/>
  <c r="AN404" i="16"/>
  <c r="AP491" i="16"/>
  <c r="AE492" i="16"/>
  <c r="AE536" i="16"/>
  <c r="AP535" i="16"/>
  <c r="AN10" i="16"/>
  <c r="AN9" i="16"/>
  <c r="AN32" i="16"/>
  <c r="AN31" i="16"/>
  <c r="C9" i="4"/>
  <c r="J29" i="4"/>
  <c r="AH492" i="16" l="1"/>
  <c r="AI492" i="16"/>
  <c r="AH536" i="16"/>
  <c r="AI536" i="16"/>
  <c r="AA10" i="16"/>
  <c r="Z10" i="16"/>
  <c r="Z11" i="16"/>
  <c r="Z15" i="16"/>
  <c r="Z19" i="16"/>
  <c r="Z23" i="16"/>
  <c r="Z27" i="16"/>
  <c r="Z31" i="16"/>
  <c r="AA11" i="16"/>
  <c r="AA15" i="16"/>
  <c r="AA19" i="16"/>
  <c r="AA23" i="16"/>
  <c r="AA27" i="16"/>
  <c r="AA31" i="16"/>
  <c r="Z30" i="16"/>
  <c r="AA30" i="16"/>
  <c r="Z12" i="16"/>
  <c r="Z16" i="16"/>
  <c r="Z20" i="16"/>
  <c r="Z24" i="16"/>
  <c r="Z28" i="16"/>
  <c r="Z26" i="16"/>
  <c r="AA18" i="16"/>
  <c r="AA12" i="16"/>
  <c r="AA16" i="16"/>
  <c r="AA20" i="16"/>
  <c r="AA24" i="16"/>
  <c r="AA28" i="16"/>
  <c r="Z22" i="16"/>
  <c r="AA22" i="16"/>
  <c r="Z13" i="16"/>
  <c r="Z17" i="16"/>
  <c r="Z21" i="16"/>
  <c r="Z25" i="16"/>
  <c r="Z29" i="16"/>
  <c r="Z18" i="16"/>
  <c r="AA14" i="16"/>
  <c r="AA13" i="16"/>
  <c r="AA17" i="16"/>
  <c r="AA21" i="16"/>
  <c r="AA25" i="16"/>
  <c r="AA29" i="16"/>
  <c r="Z14" i="16"/>
  <c r="AA26" i="16"/>
  <c r="AP536" i="16"/>
  <c r="AN535" i="16"/>
  <c r="AN448" i="16"/>
  <c r="AP492" i="16"/>
  <c r="AN491" i="16"/>
  <c r="I29" i="4"/>
  <c r="B1" i="8" a="1"/>
  <c r="B1" i="8" s="1"/>
  <c r="B1" i="7" a="1"/>
  <c r="B1" i="7" s="1"/>
  <c r="AL526" i="16" l="1"/>
  <c r="AM526" i="16" s="1"/>
  <c r="AO526" i="16" s="1"/>
  <c r="AL438" i="16"/>
  <c r="AL350" i="16"/>
  <c r="AL262" i="16"/>
  <c r="AL174" i="16"/>
  <c r="AL86" i="16"/>
  <c r="AL306" i="16"/>
  <c r="AM306" i="16" s="1"/>
  <c r="AO306" i="16" s="1"/>
  <c r="AL218" i="16"/>
  <c r="AM218" i="16" s="1"/>
  <c r="AO218" i="16" s="1"/>
  <c r="AL482" i="16"/>
  <c r="AM482" i="16" s="1"/>
  <c r="AO482" i="16" s="1"/>
  <c r="AL130" i="16"/>
  <c r="AM130" i="16" s="1"/>
  <c r="AO130" i="16" s="1"/>
  <c r="AL394" i="16"/>
  <c r="AM394" i="16" s="1"/>
  <c r="AO394" i="16" s="1"/>
  <c r="AL42" i="16"/>
  <c r="AL535" i="16"/>
  <c r="AM535" i="16" s="1"/>
  <c r="AO535" i="16" s="1"/>
  <c r="AL447" i="16"/>
  <c r="AM447" i="16" s="1"/>
  <c r="AO447" i="16" s="1"/>
  <c r="AL359" i="16"/>
  <c r="AM359" i="16" s="1"/>
  <c r="AO359" i="16" s="1"/>
  <c r="AL271" i="16"/>
  <c r="AM271" i="16" s="1"/>
  <c r="AO271" i="16" s="1"/>
  <c r="AL183" i="16"/>
  <c r="AM183" i="16" s="1"/>
  <c r="AO183" i="16" s="1"/>
  <c r="AL95" i="16"/>
  <c r="AM95" i="16" s="1"/>
  <c r="AO95" i="16" s="1"/>
  <c r="AL491" i="16"/>
  <c r="AM491" i="16" s="1"/>
  <c r="AL403" i="16"/>
  <c r="AM403" i="16" s="1"/>
  <c r="AO403" i="16" s="1"/>
  <c r="AL315" i="16"/>
  <c r="AM315" i="16" s="1"/>
  <c r="AO315" i="16" s="1"/>
  <c r="AL227" i="16"/>
  <c r="AM227" i="16" s="1"/>
  <c r="AO227" i="16" s="1"/>
  <c r="AL139" i="16"/>
  <c r="AM139" i="16" s="1"/>
  <c r="AO139" i="16" s="1"/>
  <c r="AL51" i="16"/>
  <c r="AM51" i="16" s="1"/>
  <c r="AO51" i="16" s="1"/>
  <c r="AL478" i="16"/>
  <c r="AM478" i="16" s="1"/>
  <c r="AO478" i="16" s="1"/>
  <c r="AL390" i="16"/>
  <c r="AM390" i="16" s="1"/>
  <c r="AO390" i="16" s="1"/>
  <c r="AL302" i="16"/>
  <c r="AL214" i="16"/>
  <c r="AM214" i="16" s="1"/>
  <c r="AO214" i="16" s="1"/>
  <c r="AL126" i="16"/>
  <c r="AL38" i="16"/>
  <c r="AL258" i="16"/>
  <c r="AL170" i="16"/>
  <c r="AM170" i="16" s="1"/>
  <c r="AO170" i="16" s="1"/>
  <c r="AL522" i="16"/>
  <c r="AM522" i="16" s="1"/>
  <c r="AO522" i="16" s="1"/>
  <c r="AL434" i="16"/>
  <c r="AM434" i="16" s="1"/>
  <c r="AO434" i="16" s="1"/>
  <c r="AL82" i="16"/>
  <c r="AL346" i="16"/>
  <c r="AM346" i="16" s="1"/>
  <c r="AO346" i="16" s="1"/>
  <c r="F14" i="12"/>
  <c r="AL496" i="16"/>
  <c r="AM496" i="16" s="1"/>
  <c r="AO496" i="16" s="1"/>
  <c r="AL408" i="16"/>
  <c r="AM408" i="16" s="1"/>
  <c r="AO408" i="16" s="1"/>
  <c r="AL320" i="16"/>
  <c r="AM320" i="16" s="1"/>
  <c r="AO320" i="16" s="1"/>
  <c r="AL232" i="16"/>
  <c r="AM232" i="16" s="1"/>
  <c r="AO232" i="16" s="1"/>
  <c r="AL144" i="16"/>
  <c r="AM144" i="16" s="1"/>
  <c r="AO144" i="16" s="1"/>
  <c r="AL56" i="16"/>
  <c r="AL452" i="16"/>
  <c r="AL364" i="16"/>
  <c r="AL276" i="16"/>
  <c r="AM276" i="16" s="1"/>
  <c r="AO276" i="16" s="1"/>
  <c r="AL188" i="16"/>
  <c r="AM188" i="16" s="1"/>
  <c r="AO188" i="16" s="1"/>
  <c r="AL100" i="16"/>
  <c r="AM100" i="16" s="1"/>
  <c r="AO100" i="16" s="1"/>
  <c r="AL12" i="16"/>
  <c r="AL479" i="16"/>
  <c r="AM479" i="16" s="1"/>
  <c r="AO479" i="16" s="1"/>
  <c r="AL391" i="16"/>
  <c r="AM391" i="16" s="1"/>
  <c r="AO391" i="16" s="1"/>
  <c r="AL303" i="16"/>
  <c r="AM303" i="16" s="1"/>
  <c r="AO303" i="16" s="1"/>
  <c r="AL215" i="16"/>
  <c r="AM215" i="16" s="1"/>
  <c r="AO215" i="16" s="1"/>
  <c r="AL127" i="16"/>
  <c r="AM127" i="16" s="1"/>
  <c r="AO127" i="16" s="1"/>
  <c r="AL39" i="16"/>
  <c r="AL523" i="16"/>
  <c r="AM523" i="16" s="1"/>
  <c r="AO523" i="16" s="1"/>
  <c r="AL435" i="16"/>
  <c r="AM435" i="16" s="1"/>
  <c r="AO435" i="16" s="1"/>
  <c r="AL347" i="16"/>
  <c r="AL259" i="16"/>
  <c r="AL171" i="16"/>
  <c r="AL83" i="16"/>
  <c r="AM83" i="16" s="1"/>
  <c r="AO83" i="16" s="1"/>
  <c r="AL469" i="16"/>
  <c r="AM469" i="16" s="1"/>
  <c r="AO469" i="16" s="1"/>
  <c r="AL381" i="16"/>
  <c r="AM381" i="16" s="1"/>
  <c r="AO381" i="16" s="1"/>
  <c r="AL293" i="16"/>
  <c r="AM293" i="16" s="1"/>
  <c r="AO293" i="16" s="1"/>
  <c r="AL205" i="16"/>
  <c r="AM205" i="16" s="1"/>
  <c r="AO205" i="16" s="1"/>
  <c r="AL117" i="16"/>
  <c r="AM117" i="16" s="1"/>
  <c r="AO117" i="16" s="1"/>
  <c r="AL29" i="16"/>
  <c r="AM29" i="16" s="1"/>
  <c r="AO29" i="16" s="1"/>
  <c r="AL337" i="16"/>
  <c r="AM337" i="16" s="1"/>
  <c r="AO337" i="16" s="1"/>
  <c r="AL73" i="16"/>
  <c r="AM73" i="16" s="1"/>
  <c r="AO73" i="16" s="1"/>
  <c r="AL249" i="16"/>
  <c r="AM249" i="16" s="1"/>
  <c r="AO249" i="16" s="1"/>
  <c r="AL513" i="16"/>
  <c r="AM513" i="16" s="1"/>
  <c r="AO513" i="16" s="1"/>
  <c r="AL161" i="16"/>
  <c r="AM161" i="16" s="1"/>
  <c r="AO161" i="16" s="1"/>
  <c r="AL425" i="16"/>
  <c r="AM425" i="16" s="1"/>
  <c r="AO425" i="16" s="1"/>
  <c r="AL510" i="16"/>
  <c r="AL422" i="16"/>
  <c r="AM422" i="16" s="1"/>
  <c r="AO422" i="16" s="1"/>
  <c r="AL334" i="16"/>
  <c r="AM334" i="16" s="1"/>
  <c r="AO334" i="16" s="1"/>
  <c r="AL246" i="16"/>
  <c r="AL158" i="16"/>
  <c r="AM158" i="16" s="1"/>
  <c r="AO158" i="16" s="1"/>
  <c r="AL70" i="16"/>
  <c r="AM70" i="16" s="1"/>
  <c r="AO70" i="16" s="1"/>
  <c r="AL114" i="16"/>
  <c r="AM114" i="16" s="1"/>
  <c r="AO114" i="16" s="1"/>
  <c r="AL466" i="16"/>
  <c r="AM466" i="16" s="1"/>
  <c r="AO466" i="16" s="1"/>
  <c r="AL290" i="16"/>
  <c r="AM290" i="16" s="1"/>
  <c r="AO290" i="16" s="1"/>
  <c r="AL378" i="16"/>
  <c r="AM378" i="16" s="1"/>
  <c r="AO378" i="16" s="1"/>
  <c r="AL202" i="16"/>
  <c r="AM202" i="16" s="1"/>
  <c r="AO202" i="16" s="1"/>
  <c r="AL26" i="16"/>
  <c r="AL74" i="16"/>
  <c r="AM74" i="16" s="1"/>
  <c r="AO74" i="16" s="1"/>
  <c r="AL470" i="16"/>
  <c r="AM470" i="16" s="1"/>
  <c r="AO470" i="16" s="1"/>
  <c r="AL382" i="16"/>
  <c r="AM382" i="16" s="1"/>
  <c r="AO382" i="16" s="1"/>
  <c r="AL294" i="16"/>
  <c r="AM294" i="16" s="1"/>
  <c r="AO294" i="16" s="1"/>
  <c r="AL206" i="16"/>
  <c r="AM206" i="16" s="1"/>
  <c r="AO206" i="16" s="1"/>
  <c r="AL118" i="16"/>
  <c r="AM118" i="16" s="1"/>
  <c r="AO118" i="16" s="1"/>
  <c r="AL30" i="16"/>
  <c r="AM30" i="16" s="1"/>
  <c r="AO30" i="16" s="1"/>
  <c r="AL250" i="16"/>
  <c r="AM250" i="16" s="1"/>
  <c r="AO250" i="16" s="1"/>
  <c r="AL162" i="16"/>
  <c r="AM162" i="16" s="1"/>
  <c r="AO162" i="16" s="1"/>
  <c r="AL514" i="16"/>
  <c r="AM514" i="16" s="1"/>
  <c r="AO514" i="16" s="1"/>
  <c r="AL338" i="16"/>
  <c r="AM338" i="16" s="1"/>
  <c r="AO338" i="16" s="1"/>
  <c r="AL426" i="16"/>
  <c r="AM426" i="16" s="1"/>
  <c r="AO426" i="16" s="1"/>
  <c r="G14" i="12"/>
  <c r="AL298" i="16"/>
  <c r="AL122" i="16"/>
  <c r="AL518" i="16"/>
  <c r="AM518" i="16" s="1"/>
  <c r="AO518" i="16" s="1"/>
  <c r="AL430" i="16"/>
  <c r="AM430" i="16" s="1"/>
  <c r="AO430" i="16" s="1"/>
  <c r="AL342" i="16"/>
  <c r="AL254" i="16"/>
  <c r="AM254" i="16" s="1"/>
  <c r="AO254" i="16" s="1"/>
  <c r="AL166" i="16"/>
  <c r="AM166" i="16" s="1"/>
  <c r="AO166" i="16" s="1"/>
  <c r="AL78" i="16"/>
  <c r="AM78" i="16" s="1"/>
  <c r="AO78" i="16" s="1"/>
  <c r="AL210" i="16"/>
  <c r="AM210" i="16" s="1"/>
  <c r="AO210" i="16" s="1"/>
  <c r="AL386" i="16"/>
  <c r="AM386" i="16" s="1"/>
  <c r="AO386" i="16" s="1"/>
  <c r="AL474" i="16"/>
  <c r="AM474" i="16" s="1"/>
  <c r="AO474" i="16" s="1"/>
  <c r="AL34" i="16"/>
  <c r="AL527" i="16"/>
  <c r="AM527" i="16" s="1"/>
  <c r="AO527" i="16" s="1"/>
  <c r="AL439" i="16"/>
  <c r="AM439" i="16" s="1"/>
  <c r="AO439" i="16" s="1"/>
  <c r="AL351" i="16"/>
  <c r="AM351" i="16" s="1"/>
  <c r="AO351" i="16" s="1"/>
  <c r="AL263" i="16"/>
  <c r="AL175" i="16"/>
  <c r="AL87" i="16"/>
  <c r="AL483" i="16"/>
  <c r="AM483" i="16" s="1"/>
  <c r="AO483" i="16" s="1"/>
  <c r="AL395" i="16"/>
  <c r="AM395" i="16" s="1"/>
  <c r="AO395" i="16" s="1"/>
  <c r="AL307" i="16"/>
  <c r="AM307" i="16" s="1"/>
  <c r="AO307" i="16" s="1"/>
  <c r="AL219" i="16"/>
  <c r="AM219" i="16" s="1"/>
  <c r="AO219" i="16" s="1"/>
  <c r="AL131" i="16"/>
  <c r="AM131" i="16" s="1"/>
  <c r="AO131" i="16" s="1"/>
  <c r="AL43" i="16"/>
  <c r="AL509" i="16"/>
  <c r="AM509" i="16" s="1"/>
  <c r="AO509" i="16" s="1"/>
  <c r="AL421" i="16"/>
  <c r="AM421" i="16" s="1"/>
  <c r="AO421" i="16" s="1"/>
  <c r="AL333" i="16"/>
  <c r="AM333" i="16" s="1"/>
  <c r="AO333" i="16" s="1"/>
  <c r="AL245" i="16"/>
  <c r="AM245" i="16" s="1"/>
  <c r="AO245" i="16" s="1"/>
  <c r="AL157" i="16"/>
  <c r="AL69" i="16"/>
  <c r="AM69" i="16" s="1"/>
  <c r="AO69" i="16" s="1"/>
  <c r="AL465" i="16"/>
  <c r="AM465" i="16" s="1"/>
  <c r="AO465" i="16" s="1"/>
  <c r="AL25" i="16"/>
  <c r="AL201" i="16"/>
  <c r="AM201" i="16" s="1"/>
  <c r="AO201" i="16" s="1"/>
  <c r="AL377" i="16"/>
  <c r="AL113" i="16"/>
  <c r="AL289" i="16"/>
  <c r="AM289" i="16" s="1"/>
  <c r="AO289" i="16" s="1"/>
  <c r="AL536" i="16"/>
  <c r="AM536" i="16" s="1"/>
  <c r="AL448" i="16"/>
  <c r="AM448" i="16" s="1"/>
  <c r="AO448" i="16" s="1"/>
  <c r="AL360" i="16"/>
  <c r="AM360" i="16" s="1"/>
  <c r="AO360" i="16" s="1"/>
  <c r="AL272" i="16"/>
  <c r="AM272" i="16" s="1"/>
  <c r="AO272" i="16" s="1"/>
  <c r="AL184" i="16"/>
  <c r="AM184" i="16" s="1"/>
  <c r="AO184" i="16" s="1"/>
  <c r="AL96" i="16"/>
  <c r="AM96" i="16" s="1"/>
  <c r="AO96" i="16" s="1"/>
  <c r="AL492" i="16"/>
  <c r="AL404" i="16"/>
  <c r="AM404" i="16" s="1"/>
  <c r="AO404" i="16" s="1"/>
  <c r="AL316" i="16"/>
  <c r="AM316" i="16" s="1"/>
  <c r="AO316" i="16" s="1"/>
  <c r="AL228" i="16"/>
  <c r="AM228" i="16" s="1"/>
  <c r="AO228" i="16" s="1"/>
  <c r="AL140" i="16"/>
  <c r="AM140" i="16" s="1"/>
  <c r="AO140" i="16" s="1"/>
  <c r="AL52" i="16"/>
  <c r="AM52" i="16" s="1"/>
  <c r="AO52" i="16" s="1"/>
  <c r="AL154" i="16"/>
  <c r="AM154" i="16" s="1"/>
  <c r="AO154" i="16" s="1"/>
  <c r="AL462" i="16"/>
  <c r="AM462" i="16" s="1"/>
  <c r="AO462" i="16" s="1"/>
  <c r="AL374" i="16"/>
  <c r="AM374" i="16" s="1"/>
  <c r="AO374" i="16" s="1"/>
  <c r="AL286" i="16"/>
  <c r="AM286" i="16" s="1"/>
  <c r="AO286" i="16" s="1"/>
  <c r="AL198" i="16"/>
  <c r="AM198" i="16" s="1"/>
  <c r="AO198" i="16" s="1"/>
  <c r="AL110" i="16"/>
  <c r="AM110" i="16" s="1"/>
  <c r="AO110" i="16" s="1"/>
  <c r="AL22" i="16"/>
  <c r="AL66" i="16"/>
  <c r="AM66" i="16" s="1"/>
  <c r="AO66" i="16" s="1"/>
  <c r="AL418" i="16"/>
  <c r="AL506" i="16"/>
  <c r="AL330" i="16"/>
  <c r="AM330" i="16" s="1"/>
  <c r="AO330" i="16" s="1"/>
  <c r="AL242" i="16"/>
  <c r="AM242" i="16" s="1"/>
  <c r="AO242" i="16" s="1"/>
  <c r="AL517" i="16"/>
  <c r="AL429" i="16"/>
  <c r="AM429" i="16" s="1"/>
  <c r="AO429" i="16" s="1"/>
  <c r="AL341" i="16"/>
  <c r="AM341" i="16" s="1"/>
  <c r="AO341" i="16" s="1"/>
  <c r="AL253" i="16"/>
  <c r="AM253" i="16" s="1"/>
  <c r="AO253" i="16" s="1"/>
  <c r="AL165" i="16"/>
  <c r="AM165" i="16" s="1"/>
  <c r="AO165" i="16" s="1"/>
  <c r="AL77" i="16"/>
  <c r="AM77" i="16" s="1"/>
  <c r="AO77" i="16" s="1"/>
  <c r="AL209" i="16"/>
  <c r="AM209" i="16" s="1"/>
  <c r="AO209" i="16" s="1"/>
  <c r="AL33" i="16"/>
  <c r="AL121" i="16"/>
  <c r="AM121" i="16" s="1"/>
  <c r="AO121" i="16" s="1"/>
  <c r="AL473" i="16"/>
  <c r="AM473" i="16" s="1"/>
  <c r="AO473" i="16" s="1"/>
  <c r="AL385" i="16"/>
  <c r="AM385" i="16" s="1"/>
  <c r="AO385" i="16" s="1"/>
  <c r="AL297" i="16"/>
  <c r="AL519" i="16"/>
  <c r="AM519" i="16" s="1"/>
  <c r="AO519" i="16" s="1"/>
  <c r="AL431" i="16"/>
  <c r="AL343" i="16"/>
  <c r="AL255" i="16"/>
  <c r="AM255" i="16" s="1"/>
  <c r="AO255" i="16" s="1"/>
  <c r="AL167" i="16"/>
  <c r="AM167" i="16" s="1"/>
  <c r="AO167" i="16" s="1"/>
  <c r="AL79" i="16"/>
  <c r="AM79" i="16" s="1"/>
  <c r="AO79" i="16" s="1"/>
  <c r="AL475" i="16"/>
  <c r="AM475" i="16" s="1"/>
  <c r="AO475" i="16" s="1"/>
  <c r="AL387" i="16"/>
  <c r="AM387" i="16" s="1"/>
  <c r="AO387" i="16" s="1"/>
  <c r="AL299" i="16"/>
  <c r="AM299" i="16" s="1"/>
  <c r="AO299" i="16" s="1"/>
  <c r="AL211" i="16"/>
  <c r="AM211" i="16" s="1"/>
  <c r="AO211" i="16" s="1"/>
  <c r="AL123" i="16"/>
  <c r="AM123" i="16" s="1"/>
  <c r="AO123" i="16" s="1"/>
  <c r="AL35" i="16"/>
  <c r="AL461" i="16"/>
  <c r="AL373" i="16"/>
  <c r="AM373" i="16" s="1"/>
  <c r="AO373" i="16" s="1"/>
  <c r="AL285" i="16"/>
  <c r="AM285" i="16" s="1"/>
  <c r="AO285" i="16" s="1"/>
  <c r="AL197" i="16"/>
  <c r="AL109" i="16"/>
  <c r="AL21" i="16"/>
  <c r="AL329" i="16"/>
  <c r="AM329" i="16" s="1"/>
  <c r="AO329" i="16" s="1"/>
  <c r="AL505" i="16"/>
  <c r="AM505" i="16" s="1"/>
  <c r="AO505" i="16" s="1"/>
  <c r="AL153" i="16"/>
  <c r="AM153" i="16" s="1"/>
  <c r="AO153" i="16" s="1"/>
  <c r="AL65" i="16"/>
  <c r="AM65" i="16" s="1"/>
  <c r="AO65" i="16" s="1"/>
  <c r="AL241" i="16"/>
  <c r="AM241" i="16" s="1"/>
  <c r="AO241" i="16" s="1"/>
  <c r="AL417" i="16"/>
  <c r="F16" i="12"/>
  <c r="AL511" i="16"/>
  <c r="AM511" i="16" s="1"/>
  <c r="AO511" i="16" s="1"/>
  <c r="AL423" i="16"/>
  <c r="AL335" i="16"/>
  <c r="AM335" i="16" s="1"/>
  <c r="AO335" i="16" s="1"/>
  <c r="AL247" i="16"/>
  <c r="AL159" i="16"/>
  <c r="AM159" i="16" s="1"/>
  <c r="AO159" i="16" s="1"/>
  <c r="AL71" i="16"/>
  <c r="AM71" i="16" s="1"/>
  <c r="AO71" i="16" s="1"/>
  <c r="AL467" i="16"/>
  <c r="AM467" i="16" s="1"/>
  <c r="AO467" i="16" s="1"/>
  <c r="AL379" i="16"/>
  <c r="AL291" i="16"/>
  <c r="AM291" i="16" s="1"/>
  <c r="AO291" i="16" s="1"/>
  <c r="AL203" i="16"/>
  <c r="AM203" i="16" s="1"/>
  <c r="AO203" i="16" s="1"/>
  <c r="AL115" i="16"/>
  <c r="AM115" i="16" s="1"/>
  <c r="AO115" i="16" s="1"/>
  <c r="AL27" i="16"/>
  <c r="AL488" i="16"/>
  <c r="AM488" i="16" s="1"/>
  <c r="AO488" i="16" s="1"/>
  <c r="AL400" i="16"/>
  <c r="AM400" i="16" s="1"/>
  <c r="AO400" i="16" s="1"/>
  <c r="AL312" i="16"/>
  <c r="AM312" i="16" s="1"/>
  <c r="AO312" i="16" s="1"/>
  <c r="AL224" i="16"/>
  <c r="AL136" i="16"/>
  <c r="AL48" i="16"/>
  <c r="AL532" i="16"/>
  <c r="AM532" i="16" s="1"/>
  <c r="AO532" i="16" s="1"/>
  <c r="AL444" i="16"/>
  <c r="AM444" i="16" s="1"/>
  <c r="AO444" i="16" s="1"/>
  <c r="AL356" i="16"/>
  <c r="AM356" i="16" s="1"/>
  <c r="AO356" i="16" s="1"/>
  <c r="AL268" i="16"/>
  <c r="AM268" i="16" s="1"/>
  <c r="AO268" i="16" s="1"/>
  <c r="AL180" i="16"/>
  <c r="AM180" i="16" s="1"/>
  <c r="AO180" i="16" s="1"/>
  <c r="AL92" i="16"/>
  <c r="AM92" i="16" s="1"/>
  <c r="AO92" i="16" s="1"/>
  <c r="AL194" i="16"/>
  <c r="AM194" i="16" s="1"/>
  <c r="AO194" i="16" s="1"/>
  <c r="AL502" i="16"/>
  <c r="AM502" i="16" s="1"/>
  <c r="AO502" i="16" s="1"/>
  <c r="AL414" i="16"/>
  <c r="AM414" i="16" s="1"/>
  <c r="AO414" i="16" s="1"/>
  <c r="AL326" i="16"/>
  <c r="AM326" i="16" s="1"/>
  <c r="AO326" i="16" s="1"/>
  <c r="AL238" i="16"/>
  <c r="AM238" i="16" s="1"/>
  <c r="AO238" i="16" s="1"/>
  <c r="AL150" i="16"/>
  <c r="AM150" i="16" s="1"/>
  <c r="AO150" i="16" s="1"/>
  <c r="AL62" i="16"/>
  <c r="AL370" i="16"/>
  <c r="AL458" i="16"/>
  <c r="AL282" i="16"/>
  <c r="AM282" i="16" s="1"/>
  <c r="AO282" i="16" s="1"/>
  <c r="AL106" i="16"/>
  <c r="AM106" i="16" s="1"/>
  <c r="AO106" i="16" s="1"/>
  <c r="AL18" i="16"/>
  <c r="AL456" i="16"/>
  <c r="AM456" i="16" s="1"/>
  <c r="AO456" i="16" s="1"/>
  <c r="AL368" i="16"/>
  <c r="AM368" i="16" s="1"/>
  <c r="AO368" i="16" s="1"/>
  <c r="AL280" i="16"/>
  <c r="AM280" i="16" s="1"/>
  <c r="AO280" i="16" s="1"/>
  <c r="AL192" i="16"/>
  <c r="AM192" i="16" s="1"/>
  <c r="AO192" i="16" s="1"/>
  <c r="AL104" i="16"/>
  <c r="AM104" i="16" s="1"/>
  <c r="AO104" i="16" s="1"/>
  <c r="AL16" i="16"/>
  <c r="AL500" i="16"/>
  <c r="AM500" i="16" s="1"/>
  <c r="AO500" i="16" s="1"/>
  <c r="AL412" i="16"/>
  <c r="AL324" i="16"/>
  <c r="AM324" i="16" s="1"/>
  <c r="AO324" i="16" s="1"/>
  <c r="AL236" i="16"/>
  <c r="AM236" i="16" s="1"/>
  <c r="AO236" i="16" s="1"/>
  <c r="AL148" i="16"/>
  <c r="AL60" i="16"/>
  <c r="AL487" i="16"/>
  <c r="AM487" i="16" s="1"/>
  <c r="AO487" i="16" s="1"/>
  <c r="AL399" i="16"/>
  <c r="AM399" i="16" s="1"/>
  <c r="AO399" i="16" s="1"/>
  <c r="AL311" i="16"/>
  <c r="AM311" i="16" s="1"/>
  <c r="AO311" i="16" s="1"/>
  <c r="AL223" i="16"/>
  <c r="AM223" i="16" s="1"/>
  <c r="AO223" i="16" s="1"/>
  <c r="AL135" i="16"/>
  <c r="AM135" i="16" s="1"/>
  <c r="AO135" i="16" s="1"/>
  <c r="AL47" i="16"/>
  <c r="AL531" i="16"/>
  <c r="AL443" i="16"/>
  <c r="AM443" i="16" s="1"/>
  <c r="AO443" i="16" s="1"/>
  <c r="AL355" i="16"/>
  <c r="AM355" i="16" s="1"/>
  <c r="AO355" i="16" s="1"/>
  <c r="AL267" i="16"/>
  <c r="AL179" i="16"/>
  <c r="AM179" i="16" s="1"/>
  <c r="AO179" i="16" s="1"/>
  <c r="AL91" i="16"/>
  <c r="AM91" i="16" s="1"/>
  <c r="AO91" i="16" s="1"/>
  <c r="AL501" i="16"/>
  <c r="AM501" i="16" s="1"/>
  <c r="AO501" i="16" s="1"/>
  <c r="AL413" i="16"/>
  <c r="AM413" i="16" s="1"/>
  <c r="AO413" i="16" s="1"/>
  <c r="AL325" i="16"/>
  <c r="AL237" i="16"/>
  <c r="AL149" i="16"/>
  <c r="AM149" i="16" s="1"/>
  <c r="AO149" i="16" s="1"/>
  <c r="AL61" i="16"/>
  <c r="AM61" i="16" s="1"/>
  <c r="AO61" i="16" s="1"/>
  <c r="AL457" i="16"/>
  <c r="AM457" i="16" s="1"/>
  <c r="AO457" i="16" s="1"/>
  <c r="AL193" i="16"/>
  <c r="AM193" i="16" s="1"/>
  <c r="AO193" i="16" s="1"/>
  <c r="AL369" i="16"/>
  <c r="AM369" i="16" s="1"/>
  <c r="AO369" i="16" s="1"/>
  <c r="AL281" i="16"/>
  <c r="AM281" i="16" s="1"/>
  <c r="AO281" i="16" s="1"/>
  <c r="AL105" i="16"/>
  <c r="AM105" i="16" s="1"/>
  <c r="AO105" i="16" s="1"/>
  <c r="AL17" i="16"/>
  <c r="G16" i="12"/>
  <c r="AL533" i="16"/>
  <c r="AL445" i="16"/>
  <c r="AL357" i="16"/>
  <c r="AM357" i="16" s="1"/>
  <c r="AO357" i="16" s="1"/>
  <c r="AL269" i="16"/>
  <c r="AM269" i="16" s="1"/>
  <c r="AO269" i="16" s="1"/>
  <c r="AL181" i="16"/>
  <c r="AM181" i="16" s="1"/>
  <c r="AO181" i="16" s="1"/>
  <c r="AL93" i="16"/>
  <c r="AM93" i="16" s="1"/>
  <c r="AO93" i="16" s="1"/>
  <c r="AL401" i="16"/>
  <c r="AM401" i="16" s="1"/>
  <c r="AO401" i="16" s="1"/>
  <c r="AL137" i="16"/>
  <c r="AM137" i="16" s="1"/>
  <c r="AO137" i="16" s="1"/>
  <c r="AL313" i="16"/>
  <c r="AM313" i="16" s="1"/>
  <c r="AO313" i="16" s="1"/>
  <c r="AL225" i="16"/>
  <c r="AM225" i="16" s="1"/>
  <c r="AO225" i="16" s="1"/>
  <c r="AL489" i="16"/>
  <c r="AM489" i="16" s="1"/>
  <c r="AO489" i="16" s="1"/>
  <c r="AL49" i="16"/>
  <c r="F15" i="12"/>
  <c r="AL463" i="16"/>
  <c r="AL375" i="16"/>
  <c r="AM375" i="16" s="1"/>
  <c r="AO375" i="16" s="1"/>
  <c r="AL287" i="16"/>
  <c r="AL199" i="16"/>
  <c r="AM199" i="16" s="1"/>
  <c r="AO199" i="16" s="1"/>
  <c r="AL111" i="16"/>
  <c r="AM111" i="16" s="1"/>
  <c r="AO111" i="16" s="1"/>
  <c r="AL23" i="16"/>
  <c r="AL507" i="16"/>
  <c r="AM507" i="16" s="1"/>
  <c r="AO507" i="16" s="1"/>
  <c r="AL419" i="16"/>
  <c r="AM419" i="16" s="1"/>
  <c r="AO419" i="16" s="1"/>
  <c r="AL331" i="16"/>
  <c r="AM331" i="16" s="1"/>
  <c r="AO331" i="16" s="1"/>
  <c r="AL243" i="16"/>
  <c r="AM243" i="16" s="1"/>
  <c r="AO243" i="16" s="1"/>
  <c r="AL155" i="16"/>
  <c r="AM155" i="16" s="1"/>
  <c r="AO155" i="16" s="1"/>
  <c r="AL67" i="16"/>
  <c r="AM67" i="16" s="1"/>
  <c r="AO67" i="16" s="1"/>
  <c r="AL528" i="16"/>
  <c r="AM528" i="16" s="1"/>
  <c r="AO528" i="16" s="1"/>
  <c r="AL440" i="16"/>
  <c r="AL352" i="16"/>
  <c r="AM352" i="16" s="1"/>
  <c r="AO352" i="16" s="1"/>
  <c r="AL264" i="16"/>
  <c r="AL176" i="16"/>
  <c r="AL88" i="16"/>
  <c r="AL484" i="16"/>
  <c r="AM484" i="16" s="1"/>
  <c r="AO484" i="16" s="1"/>
  <c r="AL396" i="16"/>
  <c r="AM396" i="16" s="1"/>
  <c r="AO396" i="16" s="1"/>
  <c r="AL308" i="16"/>
  <c r="AM308" i="16" s="1"/>
  <c r="AO308" i="16" s="1"/>
  <c r="AL220" i="16"/>
  <c r="AM220" i="16" s="1"/>
  <c r="AO220" i="16" s="1"/>
  <c r="AL132" i="16"/>
  <c r="AM132" i="16" s="1"/>
  <c r="AO132" i="16" s="1"/>
  <c r="AL44" i="16"/>
  <c r="F17" i="12"/>
  <c r="AL234" i="16"/>
  <c r="AM234" i="16" s="1"/>
  <c r="AO234" i="16" s="1"/>
  <c r="AL58" i="16"/>
  <c r="AM58" i="16" s="1"/>
  <c r="AO58" i="16" s="1"/>
  <c r="AL454" i="16"/>
  <c r="AM454" i="16" s="1"/>
  <c r="AO454" i="16" s="1"/>
  <c r="AL366" i="16"/>
  <c r="AL278" i="16"/>
  <c r="AM278" i="16" s="1"/>
  <c r="AO278" i="16" s="1"/>
  <c r="AL190" i="16"/>
  <c r="AM190" i="16" s="1"/>
  <c r="AO190" i="16" s="1"/>
  <c r="AL102" i="16"/>
  <c r="AM102" i="16" s="1"/>
  <c r="AO102" i="16" s="1"/>
  <c r="AL14" i="16"/>
  <c r="AL322" i="16"/>
  <c r="AM322" i="16" s="1"/>
  <c r="AO322" i="16" s="1"/>
  <c r="AL498" i="16"/>
  <c r="AM498" i="16" s="1"/>
  <c r="AO498" i="16" s="1"/>
  <c r="AL410" i="16"/>
  <c r="AM410" i="16" s="1"/>
  <c r="AO410" i="16" s="1"/>
  <c r="AL146" i="16"/>
  <c r="AM146" i="16" s="1"/>
  <c r="AO146" i="16" s="1"/>
  <c r="AL453" i="16"/>
  <c r="AM453" i="16" s="1"/>
  <c r="AO453" i="16" s="1"/>
  <c r="AL365" i="16"/>
  <c r="AM365" i="16" s="1"/>
  <c r="AO365" i="16" s="1"/>
  <c r="AL277" i="16"/>
  <c r="AM277" i="16" s="1"/>
  <c r="AO277" i="16" s="1"/>
  <c r="AL189" i="16"/>
  <c r="AM189" i="16" s="1"/>
  <c r="AO189" i="16" s="1"/>
  <c r="AL101" i="16"/>
  <c r="AL13" i="16"/>
  <c r="AL145" i="16"/>
  <c r="AM145" i="16" s="1"/>
  <c r="AO145" i="16" s="1"/>
  <c r="AL409" i="16"/>
  <c r="AM409" i="16" s="1"/>
  <c r="AO409" i="16" s="1"/>
  <c r="AL321" i="16"/>
  <c r="AM321" i="16" s="1"/>
  <c r="AO321" i="16" s="1"/>
  <c r="AL57" i="16"/>
  <c r="AM57" i="16" s="1"/>
  <c r="AO57" i="16" s="1"/>
  <c r="AL497" i="16"/>
  <c r="AM497" i="16" s="1"/>
  <c r="AO497" i="16" s="1"/>
  <c r="AL233" i="16"/>
  <c r="AM233" i="16" s="1"/>
  <c r="AO233" i="16" s="1"/>
  <c r="G15" i="12"/>
  <c r="AL485" i="16"/>
  <c r="AM485" i="16" s="1"/>
  <c r="AO485" i="16" s="1"/>
  <c r="AL397" i="16"/>
  <c r="AM397" i="16" s="1"/>
  <c r="AO397" i="16" s="1"/>
  <c r="AL309" i="16"/>
  <c r="AM309" i="16" s="1"/>
  <c r="AO309" i="16" s="1"/>
  <c r="AL221" i="16"/>
  <c r="AM221" i="16" s="1"/>
  <c r="AO221" i="16" s="1"/>
  <c r="AL133" i="16"/>
  <c r="AM133" i="16" s="1"/>
  <c r="AO133" i="16" s="1"/>
  <c r="AL45" i="16"/>
  <c r="AL529" i="16"/>
  <c r="AL265" i="16"/>
  <c r="AM265" i="16" s="1"/>
  <c r="AO265" i="16" s="1"/>
  <c r="AL353" i="16"/>
  <c r="AL441" i="16"/>
  <c r="AM441" i="16" s="1"/>
  <c r="AO441" i="16" s="1"/>
  <c r="AL89" i="16"/>
  <c r="AM89" i="16" s="1"/>
  <c r="AO89" i="16" s="1"/>
  <c r="AL177" i="16"/>
  <c r="AM177" i="16" s="1"/>
  <c r="AO177" i="16" s="1"/>
  <c r="AL503" i="16"/>
  <c r="AM503" i="16" s="1"/>
  <c r="AO503" i="16" s="1"/>
  <c r="AL415" i="16"/>
  <c r="AM415" i="16" s="1"/>
  <c r="AO415" i="16" s="1"/>
  <c r="AL327" i="16"/>
  <c r="AM327" i="16" s="1"/>
  <c r="AO327" i="16" s="1"/>
  <c r="AL239" i="16"/>
  <c r="AM239" i="16" s="1"/>
  <c r="AO239" i="16" s="1"/>
  <c r="AL151" i="16"/>
  <c r="AM151" i="16" s="1"/>
  <c r="AO151" i="16" s="1"/>
  <c r="AL63" i="16"/>
  <c r="AM63" i="16" s="1"/>
  <c r="AO63" i="16" s="1"/>
  <c r="AL459" i="16"/>
  <c r="AM459" i="16" s="1"/>
  <c r="AO459" i="16" s="1"/>
  <c r="AL371" i="16"/>
  <c r="AL283" i="16"/>
  <c r="AM283" i="16" s="1"/>
  <c r="AO283" i="16" s="1"/>
  <c r="AL195" i="16"/>
  <c r="AM195" i="16" s="1"/>
  <c r="AO195" i="16" s="1"/>
  <c r="AL107" i="16"/>
  <c r="AL19" i="16"/>
  <c r="AL480" i="16"/>
  <c r="AM480" i="16" s="1"/>
  <c r="AO480" i="16" s="1"/>
  <c r="AL392" i="16"/>
  <c r="AM392" i="16" s="1"/>
  <c r="AO392" i="16" s="1"/>
  <c r="AL304" i="16"/>
  <c r="AM304" i="16" s="1"/>
  <c r="AO304" i="16" s="1"/>
  <c r="AL216" i="16"/>
  <c r="AM216" i="16" s="1"/>
  <c r="AO216" i="16" s="1"/>
  <c r="AL128" i="16"/>
  <c r="AM128" i="16" s="1"/>
  <c r="AO128" i="16" s="1"/>
  <c r="AL40" i="16"/>
  <c r="AL524" i="16"/>
  <c r="AM524" i="16" s="1"/>
  <c r="AO524" i="16" s="1"/>
  <c r="AL436" i="16"/>
  <c r="AM436" i="16" s="1"/>
  <c r="AO436" i="16" s="1"/>
  <c r="AL348" i="16"/>
  <c r="AM348" i="16" s="1"/>
  <c r="AO348" i="16" s="1"/>
  <c r="AL260" i="16"/>
  <c r="AL172" i="16"/>
  <c r="AM172" i="16" s="1"/>
  <c r="AO172" i="16" s="1"/>
  <c r="AL84" i="16"/>
  <c r="AM84" i="16" s="1"/>
  <c r="AO84" i="16" s="1"/>
  <c r="AL186" i="16"/>
  <c r="AM186" i="16" s="1"/>
  <c r="AO186" i="16" s="1"/>
  <c r="AL98" i="16"/>
  <c r="AM98" i="16" s="1"/>
  <c r="AO98" i="16" s="1"/>
  <c r="AL494" i="16"/>
  <c r="AM494" i="16" s="1"/>
  <c r="AO494" i="16" s="1"/>
  <c r="AL406" i="16"/>
  <c r="AM406" i="16" s="1"/>
  <c r="AO406" i="16" s="1"/>
  <c r="AL318" i="16"/>
  <c r="AM318" i="16" s="1"/>
  <c r="AO318" i="16" s="1"/>
  <c r="AL230" i="16"/>
  <c r="AM230" i="16" s="1"/>
  <c r="AO230" i="16" s="1"/>
  <c r="AL142" i="16"/>
  <c r="AM142" i="16" s="1"/>
  <c r="AO142" i="16" s="1"/>
  <c r="AL54" i="16"/>
  <c r="AM54" i="16" s="1"/>
  <c r="AO54" i="16" s="1"/>
  <c r="AL450" i="16"/>
  <c r="AM450" i="16" s="1"/>
  <c r="AO450" i="16" s="1"/>
  <c r="AL362" i="16"/>
  <c r="AM362" i="16" s="1"/>
  <c r="AO362" i="16" s="1"/>
  <c r="AL274" i="16"/>
  <c r="AM274" i="16" s="1"/>
  <c r="AO274" i="16" s="1"/>
  <c r="AL10" i="16"/>
  <c r="AL512" i="16"/>
  <c r="AL424" i="16"/>
  <c r="AM424" i="16" s="1"/>
  <c r="AO424" i="16" s="1"/>
  <c r="AL336" i="16"/>
  <c r="AM336" i="16" s="1"/>
  <c r="AO336" i="16" s="1"/>
  <c r="AL248" i="16"/>
  <c r="AM248" i="16" s="1"/>
  <c r="AO248" i="16" s="1"/>
  <c r="AL160" i="16"/>
  <c r="AM160" i="16" s="1"/>
  <c r="AO160" i="16" s="1"/>
  <c r="AL72" i="16"/>
  <c r="AM72" i="16" s="1"/>
  <c r="AO72" i="16" s="1"/>
  <c r="AL468" i="16"/>
  <c r="AM468" i="16" s="1"/>
  <c r="AO468" i="16" s="1"/>
  <c r="AL380" i="16"/>
  <c r="AM380" i="16" s="1"/>
  <c r="AO380" i="16" s="1"/>
  <c r="AL292" i="16"/>
  <c r="AM292" i="16" s="1"/>
  <c r="AO292" i="16" s="1"/>
  <c r="AL204" i="16"/>
  <c r="AM204" i="16" s="1"/>
  <c r="AO204" i="16" s="1"/>
  <c r="AL116" i="16"/>
  <c r="AM116" i="16" s="1"/>
  <c r="AO116" i="16" s="1"/>
  <c r="AL28" i="16"/>
  <c r="AL314" i="16"/>
  <c r="AM314" i="16" s="1"/>
  <c r="AO314" i="16" s="1"/>
  <c r="AL534" i="16"/>
  <c r="AM534" i="16" s="1"/>
  <c r="AO534" i="16" s="1"/>
  <c r="AL446" i="16"/>
  <c r="AM446" i="16" s="1"/>
  <c r="AO446" i="16" s="1"/>
  <c r="AL358" i="16"/>
  <c r="AM358" i="16" s="1"/>
  <c r="AO358" i="16" s="1"/>
  <c r="AL270" i="16"/>
  <c r="AL182" i="16"/>
  <c r="AM182" i="16" s="1"/>
  <c r="AO182" i="16" s="1"/>
  <c r="AL94" i="16"/>
  <c r="AM94" i="16" s="1"/>
  <c r="AO94" i="16" s="1"/>
  <c r="AL138" i="16"/>
  <c r="AL402" i="16"/>
  <c r="AM402" i="16" s="1"/>
  <c r="AO402" i="16" s="1"/>
  <c r="AL226" i="16"/>
  <c r="AM226" i="16" s="1"/>
  <c r="AO226" i="16" s="1"/>
  <c r="AL490" i="16"/>
  <c r="AM490" i="16" s="1"/>
  <c r="AO490" i="16" s="1"/>
  <c r="AL50" i="16"/>
  <c r="F13" i="12"/>
  <c r="AL464" i="16"/>
  <c r="AM464" i="16" s="1"/>
  <c r="AO464" i="16" s="1"/>
  <c r="AL376" i="16"/>
  <c r="AM376" i="16" s="1"/>
  <c r="AO376" i="16" s="1"/>
  <c r="AL288" i="16"/>
  <c r="AL200" i="16"/>
  <c r="AM200" i="16" s="1"/>
  <c r="AO200" i="16" s="1"/>
  <c r="AL112" i="16"/>
  <c r="AM112" i="16" s="1"/>
  <c r="AO112" i="16" s="1"/>
  <c r="AL24" i="16"/>
  <c r="AL508" i="16"/>
  <c r="AL420" i="16"/>
  <c r="AM420" i="16" s="1"/>
  <c r="AO420" i="16" s="1"/>
  <c r="AL332" i="16"/>
  <c r="AL244" i="16"/>
  <c r="AM244" i="16" s="1"/>
  <c r="AO244" i="16" s="1"/>
  <c r="AL156" i="16"/>
  <c r="AM156" i="16" s="1"/>
  <c r="AO156" i="16" s="1"/>
  <c r="AL68" i="16"/>
  <c r="AM68" i="16" s="1"/>
  <c r="AO68" i="16" s="1"/>
  <c r="AL525" i="16"/>
  <c r="AM525" i="16" s="1"/>
  <c r="AO525" i="16" s="1"/>
  <c r="AL437" i="16"/>
  <c r="AM437" i="16" s="1"/>
  <c r="AO437" i="16" s="1"/>
  <c r="AL349" i="16"/>
  <c r="AM349" i="16" s="1"/>
  <c r="AO349" i="16" s="1"/>
  <c r="AL261" i="16"/>
  <c r="AM261" i="16" s="1"/>
  <c r="AO261" i="16" s="1"/>
  <c r="AL173" i="16"/>
  <c r="AM173" i="16" s="1"/>
  <c r="AO173" i="16" s="1"/>
  <c r="AL85" i="16"/>
  <c r="AM85" i="16" s="1"/>
  <c r="AO85" i="16" s="1"/>
  <c r="AL41" i="16"/>
  <c r="AL393" i="16"/>
  <c r="AM393" i="16" s="1"/>
  <c r="AO393" i="16" s="1"/>
  <c r="AL129" i="16"/>
  <c r="AM129" i="16" s="1"/>
  <c r="AO129" i="16" s="1"/>
  <c r="AL305" i="16"/>
  <c r="AM305" i="16" s="1"/>
  <c r="AO305" i="16" s="1"/>
  <c r="AL481" i="16"/>
  <c r="AM481" i="16" s="1"/>
  <c r="AO481" i="16" s="1"/>
  <c r="AL217" i="16"/>
  <c r="AM217" i="16" s="1"/>
  <c r="AO217" i="16" s="1"/>
  <c r="AL455" i="16"/>
  <c r="AM455" i="16" s="1"/>
  <c r="AO455" i="16" s="1"/>
  <c r="AL367" i="16"/>
  <c r="AM367" i="16" s="1"/>
  <c r="AO367" i="16" s="1"/>
  <c r="AL279" i="16"/>
  <c r="AM279" i="16" s="1"/>
  <c r="AO279" i="16" s="1"/>
  <c r="AL191" i="16"/>
  <c r="AM191" i="16" s="1"/>
  <c r="AO191" i="16" s="1"/>
  <c r="AL103" i="16"/>
  <c r="AM103" i="16" s="1"/>
  <c r="AO103" i="16" s="1"/>
  <c r="AL15" i="16"/>
  <c r="AL499" i="16"/>
  <c r="AL411" i="16"/>
  <c r="AL323" i="16"/>
  <c r="AL235" i="16"/>
  <c r="AL147" i="16"/>
  <c r="AM147" i="16" s="1"/>
  <c r="AO147" i="16" s="1"/>
  <c r="AL59" i="16"/>
  <c r="AM59" i="16" s="1"/>
  <c r="AO59" i="16" s="1"/>
  <c r="G17" i="12"/>
  <c r="AL520" i="16"/>
  <c r="AM520" i="16" s="1"/>
  <c r="AO520" i="16" s="1"/>
  <c r="AL432" i="16"/>
  <c r="AM432" i="16" s="1"/>
  <c r="AO432" i="16" s="1"/>
  <c r="AL344" i="16"/>
  <c r="AM344" i="16" s="1"/>
  <c r="AO344" i="16" s="1"/>
  <c r="AL256" i="16"/>
  <c r="AM256" i="16" s="1"/>
  <c r="AO256" i="16" s="1"/>
  <c r="AL168" i="16"/>
  <c r="AM168" i="16" s="1"/>
  <c r="AO168" i="16" s="1"/>
  <c r="AL80" i="16"/>
  <c r="AM80" i="16" s="1"/>
  <c r="AO80" i="16" s="1"/>
  <c r="AL476" i="16"/>
  <c r="AM476" i="16" s="1"/>
  <c r="AO476" i="16" s="1"/>
  <c r="AL388" i="16"/>
  <c r="AM388" i="16" s="1"/>
  <c r="AO388" i="16" s="1"/>
  <c r="AL300" i="16"/>
  <c r="AL212" i="16"/>
  <c r="AM212" i="16" s="1"/>
  <c r="AO212" i="16" s="1"/>
  <c r="AL124" i="16"/>
  <c r="AL36" i="16"/>
  <c r="AL493" i="16"/>
  <c r="AM493" i="16" s="1"/>
  <c r="AO493" i="16" s="1"/>
  <c r="AL405" i="16"/>
  <c r="AM405" i="16" s="1"/>
  <c r="AO405" i="16" s="1"/>
  <c r="AL317" i="16"/>
  <c r="AM317" i="16" s="1"/>
  <c r="AO317" i="16" s="1"/>
  <c r="AL229" i="16"/>
  <c r="AM229" i="16" s="1"/>
  <c r="AO229" i="16" s="1"/>
  <c r="AL141" i="16"/>
  <c r="AM141" i="16" s="1"/>
  <c r="AO141" i="16" s="1"/>
  <c r="AL53" i="16"/>
  <c r="AM53" i="16" s="1"/>
  <c r="AO53" i="16" s="1"/>
  <c r="AL273" i="16"/>
  <c r="AL185" i="16"/>
  <c r="AM185" i="16" s="1"/>
  <c r="AO185" i="16" s="1"/>
  <c r="AL97" i="16"/>
  <c r="AM97" i="16" s="1"/>
  <c r="AO97" i="16" s="1"/>
  <c r="AL449" i="16"/>
  <c r="AM449" i="16" s="1"/>
  <c r="AO449" i="16" s="1"/>
  <c r="AL361" i="16"/>
  <c r="AM361" i="16" s="1"/>
  <c r="AO361" i="16" s="1"/>
  <c r="AL486" i="16"/>
  <c r="AM486" i="16" s="1"/>
  <c r="AO486" i="16" s="1"/>
  <c r="AL398" i="16"/>
  <c r="AL310" i="16"/>
  <c r="AM310" i="16" s="1"/>
  <c r="AO310" i="16" s="1"/>
  <c r="AL222" i="16"/>
  <c r="AM222" i="16" s="1"/>
  <c r="AO222" i="16" s="1"/>
  <c r="AL134" i="16"/>
  <c r="AL46" i="16"/>
  <c r="AL90" i="16"/>
  <c r="AM90" i="16" s="1"/>
  <c r="AO90" i="16" s="1"/>
  <c r="AL354" i="16"/>
  <c r="AM354" i="16" s="1"/>
  <c r="AO354" i="16" s="1"/>
  <c r="AL266" i="16"/>
  <c r="AM266" i="16" s="1"/>
  <c r="AO266" i="16" s="1"/>
  <c r="AL178" i="16"/>
  <c r="AM178" i="16" s="1"/>
  <c r="AO178" i="16" s="1"/>
  <c r="AL530" i="16"/>
  <c r="AM530" i="16" s="1"/>
  <c r="AO530" i="16" s="1"/>
  <c r="AL442" i="16"/>
  <c r="AM442" i="16" s="1"/>
  <c r="AO442" i="16" s="1"/>
  <c r="AL504" i="16"/>
  <c r="AM504" i="16" s="1"/>
  <c r="AO504" i="16" s="1"/>
  <c r="AL416" i="16"/>
  <c r="AM416" i="16" s="1"/>
  <c r="AO416" i="16" s="1"/>
  <c r="AL328" i="16"/>
  <c r="AM328" i="16" s="1"/>
  <c r="AO328" i="16" s="1"/>
  <c r="AL240" i="16"/>
  <c r="AM240" i="16" s="1"/>
  <c r="AO240" i="16" s="1"/>
  <c r="AL152" i="16"/>
  <c r="AM152" i="16" s="1"/>
  <c r="AO152" i="16" s="1"/>
  <c r="AL64" i="16"/>
  <c r="AL460" i="16"/>
  <c r="AL372" i="16"/>
  <c r="AM372" i="16" s="1"/>
  <c r="AO372" i="16" s="1"/>
  <c r="AL284" i="16"/>
  <c r="AM284" i="16" s="1"/>
  <c r="AO284" i="16" s="1"/>
  <c r="AL196" i="16"/>
  <c r="AM196" i="16" s="1"/>
  <c r="AO196" i="16" s="1"/>
  <c r="AL108" i="16"/>
  <c r="AM108" i="16" s="1"/>
  <c r="AO108" i="16" s="1"/>
  <c r="AL20" i="16"/>
  <c r="AL477" i="16"/>
  <c r="AM477" i="16" s="1"/>
  <c r="AO477" i="16" s="1"/>
  <c r="AL389" i="16"/>
  <c r="AM389" i="16" s="1"/>
  <c r="AO389" i="16" s="1"/>
  <c r="AL301" i="16"/>
  <c r="AL213" i="16"/>
  <c r="AL125" i="16"/>
  <c r="AL37" i="16"/>
  <c r="AL81" i="16"/>
  <c r="AM81" i="16" s="1"/>
  <c r="AO81" i="16" s="1"/>
  <c r="AL521" i="16"/>
  <c r="AM521" i="16" s="1"/>
  <c r="AO521" i="16" s="1"/>
  <c r="AL257" i="16"/>
  <c r="AM257" i="16" s="1"/>
  <c r="AO257" i="16" s="1"/>
  <c r="AL345" i="16"/>
  <c r="AM345" i="16" s="1"/>
  <c r="AO345" i="16" s="1"/>
  <c r="AL433" i="16"/>
  <c r="AM433" i="16" s="1"/>
  <c r="AO433" i="16" s="1"/>
  <c r="AL169" i="16"/>
  <c r="AM169" i="16" s="1"/>
  <c r="AO169" i="16" s="1"/>
  <c r="AL495" i="16"/>
  <c r="AM495" i="16" s="1"/>
  <c r="AO495" i="16" s="1"/>
  <c r="AL407" i="16"/>
  <c r="AM407" i="16" s="1"/>
  <c r="AO407" i="16" s="1"/>
  <c r="AL319" i="16"/>
  <c r="AM319" i="16" s="1"/>
  <c r="AO319" i="16" s="1"/>
  <c r="AL231" i="16"/>
  <c r="AM231" i="16" s="1"/>
  <c r="AO231" i="16" s="1"/>
  <c r="AL143" i="16"/>
  <c r="AM143" i="16" s="1"/>
  <c r="AO143" i="16" s="1"/>
  <c r="AL55" i="16"/>
  <c r="AM55" i="16" s="1"/>
  <c r="AO55" i="16" s="1"/>
  <c r="AL451" i="16"/>
  <c r="AM451" i="16" s="1"/>
  <c r="AO451" i="16" s="1"/>
  <c r="AL363" i="16"/>
  <c r="AM363" i="16" s="1"/>
  <c r="AO363" i="16" s="1"/>
  <c r="AL275" i="16"/>
  <c r="AM275" i="16" s="1"/>
  <c r="AO275" i="16" s="1"/>
  <c r="AL187" i="16"/>
  <c r="AM187" i="16" s="1"/>
  <c r="AO187" i="16" s="1"/>
  <c r="AL99" i="16"/>
  <c r="AM99" i="16" s="1"/>
  <c r="AO99" i="16" s="1"/>
  <c r="AL11" i="16"/>
  <c r="AL472" i="16"/>
  <c r="AM472" i="16" s="1"/>
  <c r="AO472" i="16" s="1"/>
  <c r="AL384" i="16"/>
  <c r="AM384" i="16" s="1"/>
  <c r="AO384" i="16" s="1"/>
  <c r="AL296" i="16"/>
  <c r="AM296" i="16" s="1"/>
  <c r="AO296" i="16" s="1"/>
  <c r="AL208" i="16"/>
  <c r="AM208" i="16" s="1"/>
  <c r="AO208" i="16" s="1"/>
  <c r="AL120" i="16"/>
  <c r="AM120" i="16" s="1"/>
  <c r="AO120" i="16" s="1"/>
  <c r="AL32" i="16"/>
  <c r="AL516" i="16"/>
  <c r="AM516" i="16" s="1"/>
  <c r="AO516" i="16" s="1"/>
  <c r="AL428" i="16"/>
  <c r="AM428" i="16" s="1"/>
  <c r="AO428" i="16" s="1"/>
  <c r="AL340" i="16"/>
  <c r="AM340" i="16" s="1"/>
  <c r="AO340" i="16" s="1"/>
  <c r="AL252" i="16"/>
  <c r="AM252" i="16" s="1"/>
  <c r="AO252" i="16" s="1"/>
  <c r="AL164" i="16"/>
  <c r="AL76" i="16"/>
  <c r="AM76" i="16" s="1"/>
  <c r="AO76" i="16" s="1"/>
  <c r="G18" i="12"/>
  <c r="AL471" i="16"/>
  <c r="AM471" i="16" s="1"/>
  <c r="AO471" i="16" s="1"/>
  <c r="AL383" i="16"/>
  <c r="AM383" i="16" s="1"/>
  <c r="AO383" i="16" s="1"/>
  <c r="AL295" i="16"/>
  <c r="AM295" i="16" s="1"/>
  <c r="AO295" i="16" s="1"/>
  <c r="AL207" i="16"/>
  <c r="AM207" i="16" s="1"/>
  <c r="AO207" i="16" s="1"/>
  <c r="AL119" i="16"/>
  <c r="AM119" i="16" s="1"/>
  <c r="AO119" i="16" s="1"/>
  <c r="AL31" i="16"/>
  <c r="AL515" i="16"/>
  <c r="AM515" i="16" s="1"/>
  <c r="AO515" i="16" s="1"/>
  <c r="AL427" i="16"/>
  <c r="AM427" i="16" s="1"/>
  <c r="AO427" i="16" s="1"/>
  <c r="AL339" i="16"/>
  <c r="AM339" i="16" s="1"/>
  <c r="AO339" i="16" s="1"/>
  <c r="AL251" i="16"/>
  <c r="AM251" i="16" s="1"/>
  <c r="AO251" i="16" s="1"/>
  <c r="AL163" i="16"/>
  <c r="AM163" i="16" s="1"/>
  <c r="AO163" i="16" s="1"/>
  <c r="AL75" i="16"/>
  <c r="AM75" i="16" s="1"/>
  <c r="AO75" i="16" s="1"/>
  <c r="F18" i="12"/>
  <c r="AL9" i="16"/>
  <c r="AM517" i="16"/>
  <c r="AO517" i="16" s="1"/>
  <c r="AM510" i="16"/>
  <c r="AO510" i="16" s="1"/>
  <c r="AM506" i="16"/>
  <c r="AO506" i="16" s="1"/>
  <c r="AM531" i="16"/>
  <c r="AO531" i="16" s="1"/>
  <c r="AM512" i="16"/>
  <c r="AO512" i="16" s="1"/>
  <c r="AM499" i="16"/>
  <c r="AO499" i="16" s="1"/>
  <c r="AM533" i="16"/>
  <c r="AO533" i="16" s="1"/>
  <c r="AM529" i="16"/>
  <c r="AO529" i="16" s="1"/>
  <c r="G13" i="12"/>
  <c r="GO11" i="16" s="1" a="1"/>
  <c r="GO11" i="16" s="1"/>
  <c r="AM508" i="16"/>
  <c r="AO508" i="16" s="1"/>
  <c r="GN11" i="16" a="1"/>
  <c r="GN11" i="16" s="1"/>
  <c r="AO491" i="16"/>
  <c r="AM492" i="16"/>
  <c r="AN492" i="16"/>
  <c r="AN536" i="16"/>
  <c r="AM463" i="16"/>
  <c r="AO463" i="16" s="1"/>
  <c r="AM431" i="16"/>
  <c r="AO431" i="16" s="1"/>
  <c r="AM460" i="16"/>
  <c r="AO460" i="16" s="1"/>
  <c r="AM423" i="16"/>
  <c r="AO423" i="16" s="1"/>
  <c r="AM445" i="16"/>
  <c r="AO445" i="16" s="1"/>
  <c r="AM418" i="16"/>
  <c r="AO418" i="16" s="1"/>
  <c r="AM412" i="16"/>
  <c r="AO412" i="16" s="1"/>
  <c r="AM411" i="16"/>
  <c r="AO411" i="16" s="1"/>
  <c r="AM458" i="16"/>
  <c r="AO458" i="16" s="1"/>
  <c r="AM438" i="16"/>
  <c r="AO438" i="16" s="1"/>
  <c r="AM452" i="16"/>
  <c r="AO452" i="16" s="1"/>
  <c r="AM417" i="16"/>
  <c r="AO417" i="16" s="1"/>
  <c r="AM461" i="16"/>
  <c r="AO461" i="16" s="1"/>
  <c r="AM440" i="16"/>
  <c r="AO440" i="16" s="1"/>
  <c r="AM398" i="16"/>
  <c r="AO398" i="16" s="1"/>
  <c r="AM370" i="16"/>
  <c r="AO370" i="16" s="1"/>
  <c r="AM350" i="16"/>
  <c r="AO350" i="16" s="1"/>
  <c r="AM364" i="16"/>
  <c r="AO364" i="16" s="1"/>
  <c r="AM366" i="16"/>
  <c r="AO366" i="16" s="1"/>
  <c r="AM323" i="16"/>
  <c r="AO323" i="16" s="1"/>
  <c r="AM377" i="16"/>
  <c r="AO377" i="16" s="1"/>
  <c r="AM379" i="16"/>
  <c r="AO379" i="16" s="1"/>
  <c r="AM325" i="16"/>
  <c r="AO325" i="16" s="1"/>
  <c r="AM342" i="16"/>
  <c r="AO342" i="16" s="1"/>
  <c r="AM347" i="16"/>
  <c r="AO347" i="16" s="1"/>
  <c r="AM332" i="16"/>
  <c r="AO332" i="16" s="1"/>
  <c r="AM371" i="16"/>
  <c r="AO371" i="16" s="1"/>
  <c r="AM343" i="16"/>
  <c r="AO343" i="16" s="1"/>
  <c r="AM353" i="16"/>
  <c r="AO353" i="16" s="1"/>
  <c r="AM262" i="16"/>
  <c r="AO262" i="16" s="1"/>
  <c r="AM297" i="16"/>
  <c r="AO297" i="16" s="1"/>
  <c r="AM287" i="16"/>
  <c r="AO287" i="16" s="1"/>
  <c r="AM246" i="16"/>
  <c r="AO246" i="16" s="1"/>
  <c r="AM270" i="16"/>
  <c r="AO270" i="16" s="1"/>
  <c r="AM258" i="16"/>
  <c r="AO258" i="16" s="1"/>
  <c r="AM302" i="16"/>
  <c r="AO302" i="16" s="1"/>
  <c r="AM273" i="16"/>
  <c r="AO273" i="16" s="1"/>
  <c r="AM259" i="16"/>
  <c r="AO259" i="16" s="1"/>
  <c r="AM288" i="16"/>
  <c r="AO288" i="16" s="1"/>
  <c r="AM235" i="16"/>
  <c r="AO235" i="16" s="1"/>
  <c r="AM264" i="16"/>
  <c r="AO264" i="16" s="1"/>
  <c r="AM247" i="16"/>
  <c r="AO247" i="16" s="1"/>
  <c r="AM237" i="16"/>
  <c r="AO237" i="16" s="1"/>
  <c r="AM298" i="16"/>
  <c r="AO298" i="16" s="1"/>
  <c r="AM301" i="16"/>
  <c r="AO301" i="16" s="1"/>
  <c r="AM267" i="16"/>
  <c r="AO267" i="16" s="1"/>
  <c r="AM263" i="16"/>
  <c r="AO263" i="16" s="1"/>
  <c r="AM260" i="16"/>
  <c r="AO260" i="16" s="1"/>
  <c r="AM300" i="16"/>
  <c r="AO300" i="16" s="1"/>
  <c r="AM174" i="16"/>
  <c r="AO174" i="16" s="1"/>
  <c r="AM175" i="16"/>
  <c r="AO175" i="16" s="1"/>
  <c r="AM171" i="16"/>
  <c r="AO171" i="16" s="1"/>
  <c r="AM148" i="16"/>
  <c r="AO148" i="16" s="1"/>
  <c r="AM224" i="16"/>
  <c r="AO224" i="16" s="1"/>
  <c r="AM176" i="16"/>
  <c r="AO176" i="16" s="1"/>
  <c r="AM164" i="16"/>
  <c r="AO164" i="16" s="1"/>
  <c r="AM157" i="16"/>
  <c r="AO157" i="16" s="1"/>
  <c r="AM213" i="16"/>
  <c r="AO213" i="16" s="1"/>
  <c r="AM197" i="16"/>
  <c r="AO197" i="16" s="1"/>
  <c r="AM62" i="16"/>
  <c r="AO62" i="16" s="1"/>
  <c r="AM56" i="16"/>
  <c r="AO56" i="16" s="1"/>
  <c r="AM138" i="16"/>
  <c r="AO138" i="16" s="1"/>
  <c r="AM64" i="16"/>
  <c r="AO64" i="16" s="1"/>
  <c r="AM113" i="16"/>
  <c r="AO113" i="16" s="1"/>
  <c r="AM82" i="16"/>
  <c r="AO82" i="16" s="1"/>
  <c r="AM126" i="16"/>
  <c r="AO126" i="16" s="1"/>
  <c r="AM107" i="16"/>
  <c r="AO107" i="16" s="1"/>
  <c r="AM134" i="16"/>
  <c r="AO134" i="16" s="1"/>
  <c r="AM60" i="16"/>
  <c r="AO60" i="16" s="1"/>
  <c r="AM86" i="16"/>
  <c r="AO86" i="16" s="1"/>
  <c r="AM136" i="16"/>
  <c r="AO136" i="16" s="1"/>
  <c r="AM109" i="16"/>
  <c r="AO109" i="16" s="1"/>
  <c r="AM88" i="16"/>
  <c r="AO88" i="16" s="1"/>
  <c r="AM122" i="16"/>
  <c r="AO122" i="16" s="1"/>
  <c r="AM101" i="16"/>
  <c r="AO101" i="16" s="1"/>
  <c r="AM125" i="16"/>
  <c r="AO125" i="16" s="1"/>
  <c r="AM124" i="16"/>
  <c r="AO124" i="16" s="1"/>
  <c r="AM87" i="16"/>
  <c r="AO87" i="16" s="1"/>
  <c r="A29" i="3" a="1"/>
  <c r="A29" i="3" s="1"/>
  <c r="C29" i="3" s="1"/>
  <c r="A28" i="3" a="1"/>
  <c r="A28" i="3" s="1"/>
  <c r="C28" i="3" s="1"/>
  <c r="B27" i="3"/>
  <c r="A24" i="3" a="1"/>
  <c r="A24" i="3" s="1"/>
  <c r="C24" i="3" s="1"/>
  <c r="A23" i="3" a="1"/>
  <c r="A23" i="3" s="1"/>
  <c r="B23" i="3" s="1"/>
  <c r="D24" i="3" a="1"/>
  <c r="D29" i="3" a="1"/>
  <c r="D28" i="3" a="1"/>
  <c r="EL11" i="16" l="1" a="1"/>
  <c r="EL11" i="16" s="1"/>
  <c r="EJ11" i="16" a="1"/>
  <c r="EJ11" i="16" s="1"/>
  <c r="ES11" i="16" a="1"/>
  <c r="ES11" i="16" s="1"/>
  <c r="EI11" i="16" a="1"/>
  <c r="EI11" i="16" s="1"/>
  <c r="EU11" i="16" s="1" a="1"/>
  <c r="EU11" i="16" s="1"/>
  <c r="EM11" i="16" a="1"/>
  <c r="EM11" i="16" s="1"/>
  <c r="EH11" i="16" a="1"/>
  <c r="EH11" i="16" s="1"/>
  <c r="EO11" i="16" a="1"/>
  <c r="EO11" i="16" s="1"/>
  <c r="EK11" i="16" a="1"/>
  <c r="EK11" i="16" s="1"/>
  <c r="EQ11" i="16" a="1"/>
  <c r="EQ11" i="16" s="1"/>
  <c r="FN9" i="16" s="1"/>
  <c r="EN11" i="16" a="1"/>
  <c r="EN11" i="16" s="1"/>
  <c r="J17" i="12"/>
  <c r="J15" i="12"/>
  <c r="J14" i="12"/>
  <c r="J16" i="12"/>
  <c r="GP11" i="16" a="1"/>
  <c r="GP11" i="16" s="1"/>
  <c r="GQ11" i="16" a="1"/>
  <c r="GQ11" i="16" s="1"/>
  <c r="J20" i="12"/>
  <c r="J18" i="12"/>
  <c r="J13" i="12"/>
  <c r="AO492" i="16"/>
  <c r="AO536" i="16"/>
  <c r="ER11" i="16" s="1" a="1"/>
  <c r="ER11" i="16" s="1"/>
  <c r="AM32" i="16"/>
  <c r="AM10" i="16"/>
  <c r="AM31" i="16"/>
  <c r="AO31" i="16" s="1"/>
  <c r="AM9" i="16"/>
  <c r="AO9" i="16" s="1"/>
  <c r="D29" i="3"/>
  <c r="D28" i="3"/>
  <c r="D24" i="3"/>
  <c r="EP11" i="16" l="1" a="1"/>
  <c r="EP11" i="16" s="1"/>
  <c r="GS11" i="16" a="1"/>
  <c r="GS11" i="16" s="1"/>
  <c r="GR11" i="16" a="1"/>
  <c r="GR11" i="16" s="1"/>
  <c r="GX11" i="16" a="1"/>
  <c r="GX11" i="16" s="1"/>
  <c r="HA10" i="16" s="1" a="1"/>
  <c r="AO32" i="16"/>
  <c r="AO10" i="16"/>
  <c r="FN10" i="16" l="1"/>
  <c r="FQ9" i="16" s="1"/>
  <c r="HQ17" i="16"/>
  <c r="HA10" i="16"/>
  <c r="IB9" i="16" s="1" a="1"/>
  <c r="IB9" i="16" s="1"/>
  <c r="IA9" i="16" l="1" a="1"/>
  <c r="IA9" i="16" s="1"/>
  <c r="HK10" i="16" a="1"/>
  <c r="HK10" i="16" s="1"/>
  <c r="HL10" i="16" a="1"/>
  <c r="HL10" i="16" s="1"/>
  <c r="HC10" i="16" a="1"/>
  <c r="HC10" i="16" s="1"/>
  <c r="HP17" i="16"/>
  <c r="HS15" i="16" s="1"/>
  <c r="HD10" i="16" a="1"/>
  <c r="HD10" i="16" s="1"/>
  <c r="HO20" i="16" a="1"/>
  <c r="HO20" i="16" s="1"/>
  <c r="HB10" i="16" a="1"/>
  <c r="HB10" i="16" s="1"/>
  <c r="HE10" i="16" a="1"/>
  <c r="HE10" i="16" s="1"/>
  <c r="HF10" i="16" a="1"/>
  <c r="HF10" i="16" s="1"/>
  <c r="HG10" i="16" a="1"/>
  <c r="HG10" i="16" s="1"/>
  <c r="HH10" i="16" a="1"/>
  <c r="HH10" i="16" s="1"/>
  <c r="HI10" i="16" a="1"/>
  <c r="HI10" i="16" s="1"/>
  <c r="HJ10" i="16" a="1"/>
  <c r="HJ10" i="16" s="1"/>
  <c r="HP9" i="16" l="1"/>
  <c r="IJ9" i="16" a="1"/>
  <c r="IJ9" i="16" s="1"/>
  <c r="HZ9" i="16" a="1"/>
  <c r="HZ9" i="16" s="1"/>
  <c r="II9" i="16" a="1"/>
  <c r="II9" i="16" s="1"/>
  <c r="IH9" i="16" a="1"/>
  <c r="IH9" i="16" s="1"/>
  <c r="IG9" i="16" a="1"/>
  <c r="IG9" i="16" s="1"/>
  <c r="IF9" i="16" a="1"/>
  <c r="IF9" i="16" s="1"/>
  <c r="IE9" i="16" a="1"/>
  <c r="IE9" i="16" s="1"/>
  <c r="ID9" i="16" a="1"/>
  <c r="ID9" i="16" s="1"/>
  <c r="IC9" i="16" a="1"/>
  <c r="IC9" i="16" s="1"/>
  <c r="HP20" i="16" a="1"/>
  <c r="HP20" i="16" s="1"/>
  <c r="HP12" i="16"/>
  <c r="HQ20" i="16" a="1"/>
  <c r="HQ20" i="16" s="1"/>
  <c r="AJ49" i="16"/>
  <c r="AM49" i="16" s="1"/>
  <c r="AJ27" i="16"/>
  <c r="AM27" i="16" s="1"/>
  <c r="EB9" i="16" l="1"/>
  <c r="AE537" i="16" a="1"/>
  <c r="HS18" i="16" a="1"/>
  <c r="HS18" i="16" s="1"/>
  <c r="HP13" i="16"/>
  <c r="HP10" i="16"/>
  <c r="HS8" i="16" s="1"/>
  <c r="HP14" i="16"/>
  <c r="HP15" i="16" s="1"/>
  <c r="AO27" i="16"/>
  <c r="AO49" i="16"/>
  <c r="HS12" i="16" l="1"/>
  <c r="EB10" i="16"/>
  <c r="P7" i="8"/>
  <c r="AP538" i="16"/>
  <c r="AQ542" i="16"/>
  <c r="AQ549" i="16"/>
  <c r="AQ541" i="16"/>
  <c r="AQ550" i="16"/>
  <c r="AQ548" i="16"/>
  <c r="AQ540" i="16"/>
  <c r="AQ547" i="16"/>
  <c r="AQ539" i="16"/>
  <c r="AQ546" i="16"/>
  <c r="AQ537" i="16"/>
  <c r="AP539" i="16"/>
  <c r="AQ543" i="16"/>
  <c r="AQ545" i="16"/>
  <c r="AQ538" i="16"/>
  <c r="AQ544" i="16"/>
  <c r="AE537" i="16"/>
  <c r="AP540" i="16"/>
  <c r="HU18" i="16" a="1"/>
  <c r="HU18" i="16" s="1"/>
  <c r="HT18" i="16" a="1"/>
  <c r="HT18" i="16" s="1"/>
  <c r="HV18" i="16" s="1" a="1"/>
  <c r="HV18" i="16" s="1"/>
  <c r="AJ28" i="16"/>
  <c r="AM28" i="16" s="1"/>
  <c r="AJ50" i="16"/>
  <c r="AM50" i="16" s="1"/>
  <c r="AT9" i="16" l="1" a="1"/>
  <c r="AT9" i="16" s="1"/>
  <c r="AP537" i="16"/>
  <c r="AU58" i="16"/>
  <c r="AV63" i="16"/>
  <c r="AV58" i="16"/>
  <c r="AU61" i="16"/>
  <c r="AV61" i="16"/>
  <c r="AU64" i="16"/>
  <c r="AU59" i="16"/>
  <c r="AV64" i="16"/>
  <c r="AV59" i="16"/>
  <c r="AU62" i="16"/>
  <c r="AV62" i="16"/>
  <c r="AU63" i="16"/>
  <c r="AU60" i="16"/>
  <c r="AV60" i="16"/>
  <c r="AV52" i="16"/>
  <c r="AV57" i="16"/>
  <c r="AV53" i="16"/>
  <c r="AV65" i="16"/>
  <c r="AV54" i="16"/>
  <c r="AV56" i="16"/>
  <c r="AV55" i="16"/>
  <c r="AU52" i="16"/>
  <c r="AU53" i="16"/>
  <c r="AU54" i="16"/>
  <c r="AU55" i="16"/>
  <c r="AU56" i="16"/>
  <c r="AU57" i="16"/>
  <c r="AU65" i="16"/>
  <c r="AV68" i="16"/>
  <c r="AU71" i="16"/>
  <c r="AU66" i="16"/>
  <c r="AV71" i="16"/>
  <c r="AU68" i="16"/>
  <c r="AV66" i="16"/>
  <c r="AU69" i="16"/>
  <c r="AU51" i="16"/>
  <c r="AU50" i="16"/>
  <c r="AV69" i="16"/>
  <c r="AV50" i="16"/>
  <c r="AU67" i="16"/>
  <c r="AV70" i="16"/>
  <c r="AV67" i="16"/>
  <c r="AU70" i="16"/>
  <c r="AV51" i="16"/>
  <c r="AP541" i="16"/>
  <c r="HW18" i="16" a="1"/>
  <c r="HW18" i="16" s="1"/>
  <c r="AO50" i="16"/>
  <c r="AO28" i="16"/>
  <c r="AW56" i="16" l="1"/>
  <c r="AW65" i="16"/>
  <c r="AW63" i="16"/>
  <c r="AW61" i="16"/>
  <c r="AW55" i="16"/>
  <c r="AW57" i="16"/>
  <c r="AW54" i="16"/>
  <c r="AW62" i="16"/>
  <c r="AW58" i="16"/>
  <c r="AW59" i="16"/>
  <c r="AW64" i="16"/>
  <c r="AW60" i="16"/>
  <c r="AW52" i="16"/>
  <c r="AW53" i="16"/>
  <c r="AW71" i="16"/>
  <c r="AW68" i="16"/>
  <c r="AW50" i="16"/>
  <c r="AW51" i="16"/>
  <c r="AW70" i="16"/>
  <c r="AW69" i="16"/>
  <c r="AW67" i="16"/>
  <c r="AW66" i="16"/>
  <c r="AP542" i="16"/>
  <c r="AJ47" i="16"/>
  <c r="AM47" i="16" s="1"/>
  <c r="AJ25" i="16"/>
  <c r="AM25" i="16" s="1"/>
  <c r="AJ22" i="16"/>
  <c r="AM22" i="16" s="1"/>
  <c r="AJ44" i="16"/>
  <c r="AM44" i="16" s="1"/>
  <c r="AJ45" i="16"/>
  <c r="AM45" i="16" s="1"/>
  <c r="AJ23" i="16"/>
  <c r="AM23" i="16" s="1"/>
  <c r="AJ41" i="16"/>
  <c r="AM41" i="16" s="1"/>
  <c r="AJ19" i="16"/>
  <c r="AM19" i="16" s="1"/>
  <c r="AJ13" i="16"/>
  <c r="AM13" i="16" s="1"/>
  <c r="AJ35" i="16"/>
  <c r="AM35" i="16" s="1"/>
  <c r="AJ24" i="16"/>
  <c r="AM24" i="16" s="1"/>
  <c r="AJ46" i="16"/>
  <c r="AM46" i="16" s="1"/>
  <c r="AJ14" i="16"/>
  <c r="AM14" i="16" s="1"/>
  <c r="AJ36" i="16"/>
  <c r="AM36" i="16" s="1"/>
  <c r="AJ17" i="16"/>
  <c r="AM17" i="16" s="1"/>
  <c r="AJ39" i="16"/>
  <c r="AM39" i="16" s="1"/>
  <c r="AJ12" i="16"/>
  <c r="AM12" i="16" s="1"/>
  <c r="AJ34" i="16"/>
  <c r="AM34" i="16" s="1"/>
  <c r="AJ33" i="16"/>
  <c r="AM33" i="16" s="1"/>
  <c r="AJ11" i="16"/>
  <c r="AM11" i="16" s="1"/>
  <c r="AJ43" i="16"/>
  <c r="AM43" i="16" s="1"/>
  <c r="AJ21" i="16"/>
  <c r="AM21" i="16" s="1"/>
  <c r="AJ38" i="16"/>
  <c r="AM38" i="16" s="1"/>
  <c r="AJ16" i="16"/>
  <c r="AM16" i="16" s="1"/>
  <c r="AJ18" i="16"/>
  <c r="AM18" i="16" s="1"/>
  <c r="AJ40" i="16"/>
  <c r="AM40" i="16" s="1"/>
  <c r="AJ42" i="16"/>
  <c r="AM42" i="16" s="1"/>
  <c r="AJ20" i="16"/>
  <c r="AM20" i="16" s="1"/>
  <c r="AJ15" i="16"/>
  <c r="AM15" i="16" s="1"/>
  <c r="AJ37" i="16"/>
  <c r="AM37" i="16" s="1"/>
  <c r="AJ48" i="16"/>
  <c r="AM48" i="16" s="1"/>
  <c r="AJ26" i="16"/>
  <c r="AM26" i="16" s="1"/>
  <c r="AP543" i="16" l="1"/>
  <c r="AO40" i="16"/>
  <c r="AO39" i="16"/>
  <c r="AO23" i="16"/>
  <c r="AO44" i="16"/>
  <c r="AO25" i="16"/>
  <c r="AO26" i="16"/>
  <c r="AO38" i="16"/>
  <c r="AO36" i="16"/>
  <c r="AO19" i="16"/>
  <c r="AO45" i="16"/>
  <c r="AO20" i="16"/>
  <c r="AO16" i="16"/>
  <c r="AO43" i="16"/>
  <c r="AO33" i="16"/>
  <c r="AO17" i="16"/>
  <c r="AO46" i="16"/>
  <c r="AO35" i="16"/>
  <c r="AO22" i="16"/>
  <c r="AO37" i="16"/>
  <c r="AO24" i="16"/>
  <c r="AO48" i="16"/>
  <c r="AO42" i="16"/>
  <c r="AO21" i="16"/>
  <c r="AO34" i="16"/>
  <c r="AO14" i="16"/>
  <c r="AO47" i="16"/>
  <c r="AO11" i="16"/>
  <c r="AO13" i="16"/>
  <c r="AO41" i="16"/>
  <c r="AO15" i="16"/>
  <c r="AO18" i="16"/>
  <c r="AO12" i="16"/>
  <c r="B8" i="9" l="1" a="1"/>
  <c r="B8" i="9" s="1"/>
  <c r="AP544" i="16"/>
  <c r="AP545" i="16" l="1"/>
  <c r="EV11" i="16" a="1"/>
  <c r="EV11" i="16" s="1"/>
  <c r="EY11" i="16" s="1" a="1"/>
  <c r="AP546" i="16" l="1"/>
  <c r="EY11" i="16"/>
  <c r="B11" i="8" s="1" a="1"/>
  <c r="B11" i="8" s="1"/>
  <c r="FO17" i="16"/>
  <c r="AP547" i="16" l="1"/>
  <c r="FM20" i="16" a="1"/>
  <c r="FM20" i="16" s="1"/>
  <c r="FN17" i="16"/>
  <c r="FQ15" i="16" s="1"/>
  <c r="P16" i="8" s="1"/>
  <c r="FC11" i="16" a="1"/>
  <c r="FC11" i="16" s="1"/>
  <c r="F11" i="8" s="1" a="1"/>
  <c r="F11" i="8" s="1"/>
  <c r="F31" i="8" s="1"/>
  <c r="FE11" i="16" a="1"/>
  <c r="FE11" i="16" s="1"/>
  <c r="H11" i="8" s="1" a="1"/>
  <c r="H11" i="8" s="1"/>
  <c r="EZ11" i="16" a="1"/>
  <c r="EZ11" i="16" s="1"/>
  <c r="C11" i="8" s="1" a="1"/>
  <c r="C11" i="8" s="1"/>
  <c r="FD11" i="16" a="1"/>
  <c r="FD11" i="16" s="1"/>
  <c r="G11" i="8" s="1" a="1"/>
  <c r="G11" i="8" s="1"/>
  <c r="G31" i="8" s="1"/>
  <c r="FB11" i="16" a="1"/>
  <c r="FB11" i="16" s="1"/>
  <c r="E11" i="8" s="1" a="1"/>
  <c r="E11" i="8" s="1"/>
  <c r="FF11" i="16" a="1"/>
  <c r="FF11" i="16" s="1"/>
  <c r="I11" i="8" s="1" a="1"/>
  <c r="I11" i="8" s="1"/>
  <c r="FA11" i="16" a="1"/>
  <c r="FA11" i="16" s="1"/>
  <c r="D11" i="8" s="1" a="1"/>
  <c r="D11" i="8" s="1"/>
  <c r="FJ11" i="16" a="1"/>
  <c r="FJ11" i="16" s="1"/>
  <c r="M11" i="8" s="1" a="1"/>
  <c r="M11" i="8" s="1"/>
  <c r="FI11" i="16" a="1"/>
  <c r="FI11" i="16" s="1"/>
  <c r="L11" i="8" s="1" a="1"/>
  <c r="L11" i="8" s="1"/>
  <c r="FH11" i="16" a="1"/>
  <c r="FH11" i="16" s="1"/>
  <c r="K11" i="8" s="1" a="1"/>
  <c r="K11" i="8" s="1"/>
  <c r="K31" i="8" s="1"/>
  <c r="FG11" i="16" a="1"/>
  <c r="FG11" i="16" s="1"/>
  <c r="AP548" i="16" l="1"/>
  <c r="FO20" i="16" a="1"/>
  <c r="FO20" i="16" s="1"/>
  <c r="FQ18" i="16" s="1" a="1"/>
  <c r="FQ18" i="16" s="1"/>
  <c r="FN20" i="16" a="1"/>
  <c r="FN20" i="16" s="1"/>
  <c r="J11" i="8" a="1"/>
  <c r="J11" i="8" s="1"/>
  <c r="J31" i="8" s="1"/>
  <c r="L31" i="8" s="1"/>
  <c r="FN12" i="16"/>
  <c r="DP9" i="16" a="1"/>
  <c r="DP9" i="16" s="1"/>
  <c r="M31" i="8"/>
  <c r="FN13" i="16" l="1"/>
  <c r="FN14" i="16"/>
  <c r="FN15" i="16" s="1"/>
  <c r="AP549" i="16"/>
  <c r="FS18" i="16" a="1"/>
  <c r="FS18" i="16" s="1"/>
  <c r="FR18" i="16" a="1"/>
  <c r="FR18" i="16" s="1"/>
  <c r="FT18" i="16" s="1" a="1"/>
  <c r="FT18" i="16" s="1"/>
  <c r="FQ13" i="16" l="1"/>
  <c r="P11" i="8" s="1"/>
  <c r="FU18" i="16" a="1"/>
  <c r="FU18" i="16" s="1"/>
  <c r="Q21" i="8" s="1" a="1"/>
  <c r="Q21" i="8" s="1"/>
  <c r="AP550" i="16"/>
  <c r="AU9" i="16" s="1"/>
  <c r="P20" i="8" l="1"/>
  <c r="P23" i="8"/>
  <c r="AP551" i="16"/>
  <c r="AP552" i="16" l="1"/>
  <c r="AP553" i="16" l="1"/>
  <c r="AP554" i="16" l="1"/>
  <c r="AP555" i="16" l="1"/>
  <c r="AP556" i="16" l="1"/>
  <c r="AP557" i="16" l="1"/>
  <c r="AP559" i="16"/>
  <c r="AP558" i="16" l="1"/>
  <c r="AP560" i="16"/>
  <c r="AP561" i="16" l="1"/>
  <c r="AP562" i="16" l="1"/>
  <c r="AP563" i="16" l="1"/>
  <c r="AP564" i="16" l="1"/>
  <c r="AP565" i="16" l="1"/>
  <c r="AP566" i="16" l="1"/>
  <c r="AP567" i="16" l="1"/>
  <c r="AP568" i="16" l="1"/>
  <c r="AP569" i="16" l="1"/>
  <c r="AP570" i="16" l="1"/>
  <c r="AP571" i="16" l="1"/>
  <c r="AP572" i="16" l="1"/>
  <c r="AP573" i="16" l="1"/>
  <c r="AP574" i="16" l="1"/>
  <c r="AP575" i="16" l="1"/>
  <c r="AP576" i="16" l="1"/>
  <c r="AP577" i="16" l="1"/>
  <c r="AP578" i="16" l="1"/>
  <c r="AP579" i="16" l="1"/>
  <c r="AP580" i="16" l="1"/>
  <c r="AV21" i="16" l="1"/>
  <c r="AU21" i="16"/>
  <c r="AT27" i="16" a="1"/>
  <c r="AU13" i="16"/>
  <c r="AU19" i="16"/>
  <c r="AU20" i="16"/>
  <c r="AV15" i="16"/>
  <c r="AV10" i="16"/>
  <c r="AU15" i="16"/>
  <c r="AV18" i="16"/>
  <c r="AV20" i="16"/>
  <c r="AU14" i="16"/>
  <c r="AV19" i="16"/>
  <c r="AU16" i="16"/>
  <c r="AU11" i="16"/>
  <c r="AV11" i="16"/>
  <c r="AU10" i="16"/>
  <c r="AV16" i="16"/>
  <c r="AV14" i="16"/>
  <c r="AU17" i="16"/>
  <c r="AV12" i="16"/>
  <c r="AV17" i="16"/>
  <c r="AU12" i="16"/>
  <c r="AU18" i="16"/>
  <c r="AV13" i="16"/>
  <c r="AV9" i="16"/>
  <c r="BO8" i="16" l="1" a="1"/>
  <c r="BO8" i="16" s="1"/>
  <c r="BA8" i="16" a="1"/>
  <c r="BA8" i="16" s="1"/>
  <c r="AW21" i="16"/>
  <c r="AU49" i="16"/>
  <c r="AV49" i="16"/>
  <c r="AV22" i="16"/>
  <c r="BO9" i="16" s="1" a="1"/>
  <c r="BO9" i="16" s="1"/>
  <c r="AU22" i="16"/>
  <c r="BA9" i="16" s="1" a="1"/>
  <c r="BA9" i="16" s="1"/>
  <c r="AW18" i="16"/>
  <c r="AW10" i="16"/>
  <c r="AW15" i="16"/>
  <c r="AW17" i="16"/>
  <c r="AW12" i="16"/>
  <c r="AW16" i="16"/>
  <c r="AW9" i="16"/>
  <c r="AW11" i="16"/>
  <c r="AW20" i="16"/>
  <c r="AW19" i="16"/>
  <c r="AW14" i="16"/>
  <c r="AW13" i="16"/>
  <c r="AT27" i="16"/>
  <c r="DR26" i="16" s="1" a="1"/>
  <c r="DR26" i="16" s="1"/>
  <c r="AV48" i="16"/>
  <c r="AV47" i="16"/>
  <c r="AU47" i="16"/>
  <c r="AU48" i="16"/>
  <c r="AU28" i="16"/>
  <c r="AV28" i="16"/>
  <c r="AU45" i="16"/>
  <c r="AV45" i="16"/>
  <c r="AV46" i="16"/>
  <c r="AU46" i="16"/>
  <c r="AV34" i="16"/>
  <c r="AU42" i="16"/>
  <c r="AV41" i="16"/>
  <c r="AU40" i="16"/>
  <c r="AU29" i="16"/>
  <c r="AV37" i="16"/>
  <c r="AV36" i="16"/>
  <c r="AV30" i="16"/>
  <c r="AV42" i="16"/>
  <c r="AU44" i="16"/>
  <c r="AU33" i="16"/>
  <c r="AU30" i="16"/>
  <c r="AV35" i="16"/>
  <c r="AV39" i="16"/>
  <c r="AU31" i="16"/>
  <c r="AU37" i="16"/>
  <c r="AU32" i="16"/>
  <c r="AV43" i="16"/>
  <c r="AV33" i="16"/>
  <c r="AU34" i="16"/>
  <c r="AV31" i="16"/>
  <c r="AU38" i="16"/>
  <c r="AU39" i="16"/>
  <c r="AV44" i="16"/>
  <c r="AU43" i="16"/>
  <c r="AV32" i="16"/>
  <c r="AU35" i="16"/>
  <c r="AU36" i="16"/>
  <c r="AU41" i="16"/>
  <c r="AV40" i="16"/>
  <c r="AV38" i="16"/>
  <c r="AV29" i="16"/>
  <c r="DQ9" i="16" l="1" a="1"/>
  <c r="DQ9" i="16" s="1"/>
  <c r="DV9" i="16" s="1" a="1"/>
  <c r="BA15" i="16" a="1"/>
  <c r="BA15" i="16" s="1"/>
  <c r="BA14" i="16" a="1"/>
  <c r="BA14" i="16" s="1"/>
  <c r="BO10" i="16" a="1"/>
  <c r="BO10" i="16" s="1"/>
  <c r="BO11" i="16" s="1" a="1"/>
  <c r="BO11" i="16" s="1"/>
  <c r="AW37" i="16"/>
  <c r="AW49" i="16"/>
  <c r="AW22" i="16"/>
  <c r="EB13" i="16" s="1"/>
  <c r="AW46" i="16"/>
  <c r="AW39" i="16"/>
  <c r="AW36" i="16"/>
  <c r="AW43" i="16"/>
  <c r="AW45" i="16"/>
  <c r="AW41" i="16"/>
  <c r="AW29" i="16"/>
  <c r="AW34" i="16"/>
  <c r="AW30" i="16"/>
  <c r="AW40" i="16"/>
  <c r="AW32" i="16"/>
  <c r="AW47" i="16"/>
  <c r="AW31" i="16"/>
  <c r="AW38" i="16"/>
  <c r="AW35" i="16"/>
  <c r="AW33" i="16"/>
  <c r="AW44" i="16"/>
  <c r="AW42" i="16"/>
  <c r="AW48" i="16"/>
  <c r="AW28" i="16"/>
  <c r="BA10" i="16" a="1"/>
  <c r="BA10" i="16" s="1"/>
  <c r="DP26" i="16" a="1"/>
  <c r="DP26" i="16" s="1"/>
  <c r="DQ26" i="16" a="1"/>
  <c r="DQ26" i="16" s="1"/>
  <c r="AU27" i="16"/>
  <c r="BA43" i="16" s="1" a="1"/>
  <c r="BA43" i="16" s="1"/>
  <c r="AV27" i="16"/>
  <c r="DS26" i="16" l="1" a="1"/>
  <c r="DS26" i="16" s="1"/>
  <c r="DT26" i="16" a="1"/>
  <c r="DT26" i="16" s="1"/>
  <c r="EB15" i="16"/>
  <c r="DV9" i="16"/>
  <c r="AV72" i="16"/>
  <c r="BA47" i="16" a="1"/>
  <c r="BA47" i="16" s="1"/>
  <c r="BA46" i="16" a="1"/>
  <c r="BA46" i="16" s="1"/>
  <c r="AU72" i="16"/>
  <c r="BA42" i="16" a="1"/>
  <c r="BA42" i="16" s="1"/>
  <c r="BA16" i="16" a="1"/>
  <c r="BA16" i="16" s="1"/>
  <c r="EC18" i="16"/>
  <c r="AW27" i="16"/>
  <c r="AW72" i="16" s="1"/>
  <c r="EB14" i="16"/>
  <c r="BA19" i="16" a="1"/>
  <c r="BA19" i="16" s="1"/>
  <c r="BA18" i="16" a="1"/>
  <c r="BA18" i="16" s="1"/>
  <c r="BA11" i="16" a="1"/>
  <c r="BA11" i="16" s="1"/>
  <c r="BA17" i="16" s="1" a="1"/>
  <c r="BA17" i="16" s="1"/>
  <c r="DV26" i="16" l="1" a="1"/>
  <c r="DV26" i="16" s="1"/>
  <c r="DW26" i="16" s="1" a="1"/>
  <c r="DW26" i="16" s="1"/>
  <c r="DW9" i="16" a="1"/>
  <c r="BA51" i="16" a="1"/>
  <c r="BA51" i="16" s="1"/>
  <c r="BA48" i="16" a="1"/>
  <c r="BA48" i="16" s="1"/>
  <c r="BA49" i="16" s="1" a="1"/>
  <c r="BA49" i="16" s="1"/>
  <c r="EB18" i="16"/>
  <c r="EE17" i="16"/>
  <c r="S18" i="7" s="1"/>
  <c r="BA52" i="16" a="1"/>
  <c r="BA52" i="16" s="1"/>
  <c r="BA44" i="16" a="1"/>
  <c r="BA44" i="16" s="1"/>
  <c r="DX26" i="16" l="1" a="1"/>
  <c r="DX26" i="16" s="1"/>
  <c r="EA25" i="16" s="1" a="1"/>
  <c r="EA25" i="16" s="1"/>
  <c r="EB25" i="16" s="1" a="1"/>
  <c r="EB25" i="16" s="1"/>
  <c r="ED25" i="16" s="1" a="1"/>
  <c r="ED25" i="16" s="1"/>
  <c r="DW9" i="16"/>
  <c r="DX9" i="16" s="1"/>
  <c r="BA56" i="16" a="1"/>
  <c r="BA56" i="16" s="1"/>
  <c r="BA53" i="16" a="1"/>
  <c r="BA53" i="16" s="1"/>
  <c r="BA55" i="16" a="1"/>
  <c r="BA55" i="16" s="1"/>
  <c r="BA45" i="16" a="1"/>
  <c r="BA45" i="16" s="1"/>
  <c r="BA54" i="16" s="1" a="1"/>
  <c r="BA54" i="16" s="1"/>
  <c r="EB11" i="16" l="1"/>
  <c r="DX12" i="16"/>
  <c r="DX14" i="16"/>
  <c r="DX13" i="16"/>
  <c r="DX21" i="16"/>
  <c r="DX18" i="16"/>
  <c r="DX15" i="16"/>
  <c r="DX20" i="16"/>
  <c r="DX17" i="16"/>
  <c r="DX11" i="16"/>
  <c r="DX19" i="16"/>
  <c r="DX16" i="16"/>
  <c r="DX10" i="16"/>
  <c r="EC25" i="16" a="1"/>
  <c r="EC25" i="16" s="1"/>
  <c r="EE25" i="16" s="1" a="1"/>
  <c r="EE25" i="16" s="1"/>
  <c r="T23" i="7" s="1" a="1"/>
  <c r="T23" i="7" s="1"/>
  <c r="S22" i="7" s="1"/>
  <c r="EC11" i="16" l="1"/>
  <c r="ED11" i="16"/>
  <c r="EB16" i="16"/>
  <c r="EE11" i="16" l="1"/>
  <c r="S9" i="7" s="1"/>
  <c r="EE13" i="16"/>
  <c r="S14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tc={5E0DF859-9E32-474E-AF7C-24B39662E7D5}</author>
    <author>tc={C0F63CD1-B1B6-495C-9D34-36DC0CB1D00C}</author>
    <author>tc={F1831D99-0C9D-4ADD-B000-9BB7C3C0941E}</author>
    <author>tc={07B1E60A-675C-48F6-ACEA-31CD511EBDC2}</author>
    <author>tc={4C706317-857B-4CC5-82AB-6E38F7F8FCBF}</author>
    <author>tc={6847A351-C73C-4B5B-A447-4C2E72A3D5DC}</author>
    <author>tc={2F31DEA2-3F1A-4C01-ACEE-B9D2E2E1D44D}</author>
    <author>tc={64FE9E11-BACF-4BFC-86ED-955A59C5F823}</author>
    <author>tc={041BC81F-740E-4286-9CB9-70A5C45CCB73}</author>
    <author>tc={DC8F1954-2795-4AB4-B709-84DD67562D6D}</author>
    <author>tc={5319CF44-A6DF-440D-A86E-21068F7FB492}</author>
  </authors>
  <commentList>
    <comment ref="H18" authorId="0" shapeId="0" xr:uid="{5E0DF859-9E32-474E-AF7C-24B39662E7D5}">
      <text>
        <t>[Threaded comment]
Your version of Excel allows you to read this threaded comment; however, any edits to it will get removed if the file is opened in a newer version of Excel. Learn more: https://go.microsoft.com/fwlink/?linkid=870924
Comment:
    Gravel roads; HCB Roads (concrete/asphalt) - Alternatively Arterial and Collector roads; LCB Roads (surface treated or chip seal)  - Alternatively most Local roads; Sidewalks &amp; Curbs; Appurtenances (Road Signs, Streetlights, Traffic Signals)</t>
      </text>
    </comment>
    <comment ref="H19" authorId="1" shapeId="0" xr:uid="{C0F63CD1-B1B6-495C-9D34-36DC0CB1D00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Bridge (over 3m span, falls under OSIM), Culvert (under 3m span) </t>
      </text>
    </comment>
    <comment ref="H20" authorId="2" shapeId="0" xr:uid="{F1831D99-0C9D-4ADD-B000-9BB7C3C0941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Mains, Valves &amp; meters, Pump/lift stations, Treatment plant, Hydrant </t>
      </text>
    </comment>
    <comment ref="H21" authorId="3" shapeId="0" xr:uid="{07B1E60A-675C-48F6-ACEA-31CD511EBDC2}">
      <text>
        <t>[Threaded comment]
Your version of Excel allows you to read this threaded comment; however, any edits to it will get removed if the file is opened in a newer version of Excel. Learn more: https://go.microsoft.com/fwlink/?linkid=870924
Comment:
    Mains, Catch basins, Manholes, Ponds (wet or dry), Treatment plant</t>
      </text>
    </comment>
    <comment ref="H22" authorId="4" shapeId="0" xr:uid="{4C706317-857B-4CC5-82AB-6E38F7F8FCBF}">
      <text>
        <t>[Threaded comment]
Your version of Excel allows you to read this threaded comment; however, any edits to it will get removed if the file is opened in a newer version of Excel. Learn more: https://go.microsoft.com/fwlink/?linkid=870924
Comment:
    Municipal buildings (includes administrative offices, town hall, park facilities, arenas, firehalls, libraries, museums etc.)</t>
      </text>
    </comment>
    <comment ref="H23" authorId="5" shapeId="0" xr:uid="{6847A351-C73C-4B5B-A447-4C2E72A3D5DC}">
      <text>
        <t>[Threaded comment]
Your version of Excel allows you to read this threaded comment; however, any edits to it will get removed if the file is opened in a newer version of Excel. Learn more: https://go.microsoft.com/fwlink/?linkid=870924
Comment:
    Social Housing - low density</t>
      </text>
    </comment>
    <comment ref="H24" authorId="6" shapeId="0" xr:uid="{2F31DEA2-3F1A-4C01-ACEE-B9D2E2E1D44D}">
      <text>
        <t>[Threaded comment]
Your version of Excel allows you to read this threaded comment; however, any edits to it will get removed if the file is opened in a newer version of Excel. Learn more: https://go.microsoft.com/fwlink/?linkid=870924
Comment:
     Social Housing - medium density</t>
      </text>
    </comment>
    <comment ref="H25" authorId="7" shapeId="0" xr:uid="{64FE9E11-BACF-4BFC-86ED-955A59C5F823}">
      <text>
        <t>[Threaded comment]
Your version of Excel allows you to read this threaded comment; however, any edits to it will get removed if the file is opened in a newer version of Excel. Learn more: https://go.microsoft.com/fwlink/?linkid=870924
Comment:
     Social Housing - high density</t>
      </text>
    </comment>
    <comment ref="H26" authorId="8" shapeId="0" xr:uid="{041BC81F-740E-4286-9CB9-70A5C45CCB73}">
      <text>
        <t>[Threaded comment]
Your version of Excel allows you to read this threaded comment; however, any edits to it will get removed if the file is opened in a newer version of Excel. Learn more: https://go.microsoft.com/fwlink/?linkid=870924
Comment:
    Light &amp; Medium vehicles (Pickup truck, SUV, Van)
Heavy vehicles (Dump Truck, Street Sweeper, Vacuum Truck – over 4500kg and require safety inspections)
Fire Truck
Buses</t>
      </text>
    </comment>
    <comment ref="H27" authorId="9" shapeId="0" xr:uid="{DC8F1954-2795-4AB4-B709-84DD67562D6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Light equipment (small motorized equipment like lawnmowers, small utility vehicles, etc.)
 Medium equipment (mid-sized motorized equipment like riding lawnmowers, ice resurfacing, sidewalk plows, etc.)
Heavy equipment (large motorized equipment like backhoe, bulldozer, excavator, grader, loader, tractor, etc.)
Trailers </t>
      </text>
    </comment>
    <comment ref="H28" authorId="10" shapeId="0" xr:uid="{5319CF44-A6DF-440D-A86E-21068F7FB492}">
      <text>
        <t>[Threaded comment]
Your version of Excel allows you to read this threaded comment; however, any edits to it will get removed if the file is opened in a newer version of Excel. Learn more: https://go.microsoft.com/fwlink/?linkid=870924
Comment:
    Computers, desks, chairs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tc={5AFEA6B8-B939-4BBA-AD7C-1F55286FC282}</author>
    <author>tc={50455B86-C573-4D9A-BF6E-67F7DDCC55C9}</author>
    <author>tc={0B54D0DD-49FF-4D47-AFF4-BBB6AA7F0921}</author>
    <author>tc={73F50273-F280-4B24-A183-69DF3025789C}</author>
    <author>tc={30A19FEF-41AF-4A52-803E-BC26F6F09715}</author>
    <author>tc={DD8F2A63-A177-4F50-92E9-A85851E12BCE}</author>
  </authors>
  <commentList>
    <comment ref="D11" authorId="0" shapeId="0" xr:uid="{5AFEA6B8-B939-4BBA-AD7C-1F55286FC282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Expected annual capital expenditure for each input before tariffs were applied</t>
      </text>
    </comment>
    <comment ref="F11" authorId="1" shapeId="0" xr:uid="{50455B86-C573-4D9A-BF6E-67F7DDCC55C9}">
      <text>
        <t>[Threaded comment]
Your version of Excel allows you to read this threaded comment; however, any edits to it will get removed if the file is opened in a newer version of Excel. Learn more: https://go.microsoft.com/fwlink/?linkid=870924
Comment:
    Tariff on US imports</t>
      </text>
    </comment>
    <comment ref="B12" authorId="2" shapeId="0" xr:uid="{0B54D0DD-49FF-4D47-AFF4-BBB6AA7F0921}">
      <text>
        <t>[Threaded comment]
Your version of Excel allows you to read this threaded comment; however, any edits to it will get removed if the file is opened in a newer version of Excel. Learn more: https://go.microsoft.com/fwlink/?linkid=870924
Comment:
    Construction input</t>
      </text>
    </comment>
    <comment ref="H12" authorId="3" shapeId="0" xr:uid="{73F50273-F280-4B24-A183-69DF3025789C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share of supply imported from the US</t>
      </text>
    </comment>
    <comment ref="I12" authorId="4" shapeId="0" xr:uid="{30A19FEF-41AF-4A52-803E-BC26F6F09715}">
      <text>
        <t>[Threaded comment]
Your version of Excel allows you to read this threaded comment; however, any edits to it will get removed if the file is opened in a newer version of Excel. Learn more: https://go.microsoft.com/fwlink/?linkid=870924
Comment:
    Import price relative to the retail price (80% for equipment and vehicles, 60% for all other goods)</t>
      </text>
    </comment>
    <comment ref="J12" authorId="5" shapeId="0" xr:uid="{DD8F2A63-A177-4F50-92E9-A85851E12BCE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will bring up a flag whenever necessary information is missing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tc={650B4890-6700-4988-9729-9D39CC2D923D}</author>
    <author>tc={05B4ACC9-113A-4158-A296-6BA762C400C6}</author>
    <author>tc={869C2D8B-BA5E-4ED9-9943-0B95D46B3562}</author>
    <author>tc={E17ABCAF-3E96-4153-88FE-883803D974E3}</author>
    <author>tc={5BC1E85F-2209-429D-B634-2D23DE6CDEA2}</author>
    <author>tc={E2ABAD67-DFF1-4372-BAAA-19E048BE5507}</author>
    <author>tc={41094CF7-DB26-49C9-BABF-BC251268135C}</author>
    <author>tc={DFFECB6B-E129-4593-B11E-39E0A0DED35B}</author>
  </authors>
  <commentList>
    <comment ref="F9" authorId="0" shapeId="0" xr:uid="{650B4890-6700-4988-9729-9D39CC2D923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Expected annual capital expenditure for each input before tariffs were applied</t>
      </text>
    </comment>
    <comment ref="H9" authorId="1" shapeId="0" xr:uid="{05B4ACC9-113A-4158-A296-6BA762C400C6}">
      <text>
        <t>[Threaded comment]
Your version of Excel allows you to read this threaded comment; however, any edits to it will get removed if the file is opened in a newer version of Excel. Learn more: https://go.microsoft.com/fwlink/?linkid=870924
Comment:
    Local import tariff</t>
      </text>
    </comment>
    <comment ref="J9" authorId="2" shapeId="0" xr:uid="{869C2D8B-BA5E-4ED9-9943-0B95D46B3562}">
      <text>
        <t>[Threaded comment]
Your version of Excel allows you to read this threaded comment; however, any edits to it will get removed if the file is opened in a newer version of Excel. Learn more: https://go.microsoft.com/fwlink/?linkid=870924
Comment:
    Direct increase in cost as a result of the tariff</t>
      </text>
    </comment>
    <comment ref="L9" authorId="3" shapeId="0" xr:uid="{E17ABCAF-3E96-4153-88FE-883803D974E3}">
      <text>
        <t>[Threaded comment]
Your version of Excel allows you to read this threaded comment; however, any edits to it will get removed if the file is opened in a newer version of Excel. Learn more: https://go.microsoft.com/fwlink/?linkid=870924
Comment:
    relative increase in capital expenditure for the respective input</t>
      </text>
    </comment>
    <comment ref="B10" authorId="4" shapeId="0" xr:uid="{5BC1E85F-2209-429D-B634-2D23DE6CDEA2}">
      <text>
        <t>[Threaded comment]
Your version of Excel allows you to read this threaded comment; however, any edits to it will get removed if the file is opened in a newer version of Excel. Learn more: https://go.microsoft.com/fwlink/?linkid=870924
Comment:
    Construction Input</t>
      </text>
    </comment>
    <comment ref="C10" authorId="5" shapeId="0" xr:uid="{E2ABAD67-DFF1-4372-BAAA-19E048BE5507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respective input's share of capital expenditure</t>
      </text>
    </comment>
    <comment ref="D10" authorId="6" shapeId="0" xr:uid="{41094CF7-DB26-49C9-BABF-BC251268135C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share of supply imported from the US</t>
      </text>
    </comment>
    <comment ref="E10" authorId="7" shapeId="0" xr:uid="{DFFECB6B-E129-4593-B11E-39E0A0DED35B}">
      <text>
        <t>[Threaded comment]
Your version of Excel allows you to read this threaded comment; however, any edits to it will get removed if the file is opened in a newer version of Excel. Learn more: https://go.microsoft.com/fwlink/?linkid=870924
Comment:
    Import price relative to the retail price (80% for equipment and vehicles, 60% for all other goods)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tc={96054E6A-2012-4978-90A3-2DE9580F011C}</author>
    <author>tc={B5D8BD36-70D0-4910-9203-DBC19D202C0C}</author>
    <author>tc={0DBCC876-35C4-427F-96B5-9076D40716D1}</author>
    <author>tc={7EF1AA6E-DF17-4734-9503-3A40358FE89C}</author>
    <author>tc={015339B4-691C-458E-859E-1BE1EA72142D}</author>
    <author>tc={EF0E9BF4-C2C4-4AEB-9EB0-51C109CCF08D}</author>
    <author>tc={977E70E5-947A-4DFD-8054-64BB7789F88F}</author>
    <author>tc={7310AF6A-4C3A-45AB-A111-B09CE8A0E141}</author>
    <author>tc={F118BBE4-317C-4697-B5F8-CE4E3AD5B946}</author>
    <author>tc={1B860301-CF15-4106-AED8-E910020FD6A7}</author>
    <author>tc={BA30356D-7CF6-4740-B0DB-BA7715D42D67}</author>
  </authors>
  <commentList>
    <comment ref="B7" authorId="0" shapeId="0" xr:uid="{96054E6A-2012-4978-90A3-2DE9580F011C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 category, see Core Inputs Interface for a further defintions</t>
      </text>
    </comment>
    <comment ref="C7" authorId="1" shapeId="0" xr:uid="{B5D8BD36-70D0-4910-9203-DBC19D202C0C}">
      <text>
        <t>[Threaded comment]
Your version of Excel allows you to read this threaded comment; however, any edits to it will get removed if the file is opened in a newer version of Excel. Learn more: https://go.microsoft.com/fwlink/?linkid=870924
Comment:
    Construction input</t>
      </text>
    </comment>
    <comment ref="D7" authorId="2" shapeId="0" xr:uid="{0DBCC876-35C4-427F-96B5-9076D40716D1}">
      <text>
        <t>[Threaded comment]
Your version of Excel allows you to read this threaded comment; however, any edits to it will get removed if the file is opened in a newer version of Excel. Learn more: https://go.microsoft.com/fwlink/?linkid=870924
Comment:
    Fiscal Year (FY)</t>
      </text>
    </comment>
    <comment ref="E7" authorId="3" shapeId="0" xr:uid="{7EF1AA6E-DF17-4734-9503-3A40358FE89C}">
      <text>
        <t>[Threaded comment]
Your version of Excel allows you to read this threaded comment; however, any edits to it will get removed if the file is opened in a newer version of Excel. Learn more: https://go.microsoft.com/fwlink/?linkid=870924
Comment:
    Total capex for the Asset Category (i.e. Roads)</t>
      </text>
    </comment>
    <comment ref="F7" authorId="4" shapeId="0" xr:uid="{015339B4-691C-458E-859E-1BE1EA72142D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material's share of Capex for the Asset</t>
      </text>
    </comment>
    <comment ref="G7" authorId="5" shapeId="0" xr:uid="{EF0E9BF4-C2C4-4AEB-9EB0-51C109CCF08D}">
      <text>
        <t>[Threaded comment]
Your version of Excel allows you to read this threaded comment; however, any edits to it will get removed if the file is opened in a newer version of Excel. Learn more: https://go.microsoft.com/fwlink/?linkid=870924
Comment:
    Share of demand imported from the US</t>
      </text>
    </comment>
    <comment ref="H7" authorId="6" shapeId="0" xr:uid="{977E70E5-947A-4DFD-8054-64BB7789F88F}">
      <text>
        <t>[Threaded comment]
Your version of Excel allows you to read this threaded comment; however, any edits to it will get removed if the file is opened in a newer version of Excel. Learn more: https://go.microsoft.com/fwlink/?linkid=870924
Comment:
    Import price relative to the retail price (80% for equipment and vehicles, 60% for all other goods)</t>
      </text>
    </comment>
    <comment ref="I7" authorId="7" shapeId="0" xr:uid="{7310AF6A-4C3A-45AB-A111-B09CE8A0E141}">
      <text>
        <t>[Threaded comment]
Your version of Excel allows you to read this threaded comment; however, any edits to it will get removed if the file is opened in a newer version of Excel. Learn more: https://go.microsoft.com/fwlink/?linkid=870924
Comment:
    Local import tariff rate for the specified material</t>
      </text>
    </comment>
    <comment ref="J7" authorId="8" shapeId="0" xr:uid="{F118BBE4-317C-4697-B5F8-CE4E3AD5B946}">
      <text>
        <t>[Threaded comment]
Your version of Excel allows you to read this threaded comment; however, any edits to it will get removed if the file is opened in a newer version of Excel. Learn more: https://go.microsoft.com/fwlink/?linkid=870924
Comment:
    Direct increase in cost as a result of the tariff</t>
      </text>
    </comment>
    <comment ref="K7" authorId="9" shapeId="0" xr:uid="{1B860301-CF15-4106-AED8-E910020FD6A7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Expected annual capital expenditure for each input before tariffs were applied</t>
      </text>
    </comment>
    <comment ref="L7" authorId="10" shapeId="0" xr:uid="{BA30356D-7CF6-4740-B0DB-BA7715D42D67}">
      <text>
        <t>[Threaded comment]
Your version of Excel allows you to read this threaded comment; however, any edits to it will get removed if the file is opened in a newer version of Excel. Learn more: https://go.microsoft.com/fwlink/?linkid=870924
Comment:
    Relatively increase in capex for the material as a direct impact of the tariffs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tc={CD76D2A9-B172-4AC7-A0F0-F9C0E21E9A86}</author>
    <author>tc={5583B7B3-62A8-45B2-86A2-1F434F339585}</author>
    <author>tc={329C6EC5-D5AC-4C77-8B25-5DAEC1A95F51}</author>
    <author>tc={D1FB6C07-6B3B-4869-BD32-C70DFCDA10B0}</author>
    <author>tc={967AB241-5FDE-41AE-976B-3A93B784BE73}</author>
    <author>tc={F61291A8-3BCB-4F1E-A375-1F29A8CD4896}</author>
    <author>tc={B8D75990-BD6A-4DCD-BA68-89523C08706F}</author>
    <author>tc={88DE23A6-62B2-4803-B58B-08CC96C70005}</author>
    <author>tc={645AA59E-7F7A-4EEA-934D-1B9914E0B17D}</author>
    <author>tc={66D400A3-F4DC-4D11-BB88-8C7CDECDC7CA}</author>
    <author>tc={0500D34D-E059-457D-89AD-E80604C282F5}</author>
    <author>tc={19EA9810-3B55-4BB2-9AB9-C24A55993B58}</author>
    <author>tc={47331CB9-20E4-4003-9B12-66852D9FED7D}</author>
  </authors>
  <commentList>
    <comment ref="AE8" authorId="0" shapeId="0" xr:uid="{CD76D2A9-B172-4AC7-A0F0-F9C0E21E9A86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 category, see Core Inputs Interface for a further defintions</t>
      </text>
    </comment>
    <comment ref="AF8" authorId="1" shapeId="0" xr:uid="{5583B7B3-62A8-45B2-86A2-1F434F339585}">
      <text>
        <t>[Threaded comment]
Your version of Excel allows you to read this threaded comment; however, any edits to it will get removed if the file is opened in a newer version of Excel. Learn more: https://go.microsoft.com/fwlink/?linkid=870924
Comment:
    Construction material</t>
      </text>
    </comment>
    <comment ref="AG8" authorId="2" shapeId="0" xr:uid="{329C6EC5-D5AC-4C77-8B25-5DAEC1A95F51}">
      <text>
        <t>[Threaded comment]
Your version of Excel allows you to read this threaded comment; however, any edits to it will get removed if the file is opened in a newer version of Excel. Learn more: https://go.microsoft.com/fwlink/?linkid=870924
Comment:
    Fiscal Year (FY)</t>
      </text>
    </comment>
    <comment ref="AH8" authorId="3" shapeId="0" xr:uid="{D1FB6C07-6B3B-4869-BD32-C70DFCDA10B0}">
      <text>
        <t>[Threaded comment]
Your version of Excel allows you to read this threaded comment; however, any edits to it will get removed if the file is opened in a newer version of Excel. Learn more: https://go.microsoft.com/fwlink/?linkid=870924
Comment:
    Total capex for the Asset Category (i.e. Roads)</t>
      </text>
    </comment>
    <comment ref="AI8" authorId="4" shapeId="0" xr:uid="{967AB241-5FDE-41AE-976B-3A93B784BE7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material's share of Capex for the Asset</t>
      </text>
    </comment>
    <comment ref="AJ8" authorId="5" shapeId="0" xr:uid="{F61291A8-3BCB-4F1E-A375-1F29A8CD4896}">
      <text>
        <t>[Threaded comment]
Your version of Excel allows you to read this threaded comment; however, any edits to it will get removed if the file is opened in a newer version of Excel. Learn more: https://go.microsoft.com/fwlink/?linkid=870924
Comment:
    Share of demand imported from the US</t>
      </text>
    </comment>
    <comment ref="AK8" authorId="6" shapeId="0" xr:uid="{B8D75990-BD6A-4DCD-BA68-89523C08706F}">
      <text>
        <t>[Threaded comment]
Your version of Excel allows you to read this threaded comment; however, any edits to it will get removed if the file is opened in a newer version of Excel. Learn more: https://go.microsoft.com/fwlink/?linkid=870924
Comment:
    Difference between Wholesale price and Retail price</t>
      </text>
    </comment>
    <comment ref="AL8" authorId="7" shapeId="0" xr:uid="{88DE23A6-62B2-4803-B58B-08CC96C70005}">
      <text>
        <t>[Threaded comment]
Your version of Excel allows you to read this threaded comment; however, any edits to it will get removed if the file is opened in a newer version of Excel. Learn more: https://go.microsoft.com/fwlink/?linkid=870924
Comment:
    Local import tariff rate for the specified material</t>
      </text>
    </comment>
    <comment ref="AM8" authorId="8" shapeId="0" xr:uid="{645AA59E-7F7A-4EEA-934D-1B9914E0B17D}">
      <text>
        <t>[Threaded comment]
Your version of Excel allows you to read this threaded comment; however, any edits to it will get removed if the file is opened in a newer version of Excel. Learn more: https://go.microsoft.com/fwlink/?linkid=870924
Comment:
    Direct increase in cost as a result of the tariff</t>
      </text>
    </comment>
    <comment ref="AN8" authorId="9" shapeId="0" xr:uid="{66D400A3-F4DC-4D11-BB88-8C7CDECDC7CA}">
      <text>
        <t>[Threaded comment]
Your version of Excel allows you to read this threaded comment; however, any edits to it will get removed if the file is opened in a newer version of Excel. Learn more: https://go.microsoft.com/fwlink/?linkid=870924
Comment:
    Assumed pre-tariff Capex</t>
      </text>
    </comment>
    <comment ref="AO8" authorId="10" shapeId="0" xr:uid="{0500D34D-E059-457D-89AD-E80604C282F5}">
      <text>
        <t>[Threaded comment]
Your version of Excel allows you to read this threaded comment; however, any edits to it will get removed if the file is opened in a newer version of Excel. Learn more: https://go.microsoft.com/fwlink/?linkid=870924
Comment:
    Relative increase in capex for the material as a direct impact of the tariffs</t>
      </text>
    </comment>
    <comment ref="AT8" authorId="11" shapeId="0" xr:uid="{19EA9810-3B55-4BB2-9AB9-C24A55993B58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 category, see Core Inputs Interface for a further defintions</t>
      </text>
    </comment>
    <comment ref="AT26" authorId="12" shapeId="0" xr:uid="{47331CB9-20E4-4003-9B12-66852D9FED7D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 category, see Core Inputs Interface for a further defintions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<sst xmlns="http://schemas.openxmlformats.org/spreadsheetml/2006/main" count="724" uniqueCount="178">
  <si>
    <t>Copyright Oxford Economics Ltd, all rights reserved</t>
  </si>
  <si>
    <t>Please navigate this workbook using the links below</t>
  </si>
  <si>
    <t>Section</t>
  </si>
  <si>
    <t>Tab</t>
  </si>
  <si>
    <t>Description</t>
  </si>
  <si>
    <t xml:space="preserve"> </t>
  </si>
  <si>
    <t>Association of Municipalities of Ontario (AMO) contact details</t>
  </si>
  <si>
    <t>Karen Nesbitt</t>
  </si>
  <si>
    <t>Senior Manager, Policy</t>
  </si>
  <si>
    <t>knesbitt@amo.on.ca</t>
  </si>
  <si>
    <t>Oxford Economics contact details</t>
  </si>
  <si>
    <t>Daniel Crook</t>
  </si>
  <si>
    <t>Lead Economist, Due Diligence &amp; Freight</t>
  </si>
  <si>
    <t>dcrook@oxfordeconomics.com</t>
  </si>
  <si>
    <t>End of Home Page</t>
  </si>
  <si>
    <t>Intentionally blank page</t>
  </si>
  <si>
    <t>Input planned Capex spending by asset category and local tariff rates</t>
  </si>
  <si>
    <t>Municipality:</t>
  </si>
  <si>
    <t>Combined Ontario Municipalities</t>
  </si>
  <si>
    <t>Analyst Name:</t>
  </si>
  <si>
    <t>Last updated:</t>
  </si>
  <si>
    <t>Step 1:</t>
  </si>
  <si>
    <t>Step 2:</t>
  </si>
  <si>
    <t>Material</t>
  </si>
  <si>
    <t>FY26</t>
  </si>
  <si>
    <t>FY27</t>
  </si>
  <si>
    <t>Reinforcing bar</t>
  </si>
  <si>
    <t>Structural steel</t>
  </si>
  <si>
    <t>Quarry Material</t>
  </si>
  <si>
    <t>Asset Type</t>
  </si>
  <si>
    <t>Concrete</t>
  </si>
  <si>
    <t>Roads</t>
  </si>
  <si>
    <t>Masonry</t>
  </si>
  <si>
    <t>Bridges &amp; Culverts</t>
  </si>
  <si>
    <t>Wood</t>
  </si>
  <si>
    <t>Other Transport</t>
  </si>
  <si>
    <t>Electrical wire</t>
  </si>
  <si>
    <t>Water assets</t>
  </si>
  <si>
    <t>Glass</t>
  </si>
  <si>
    <t>Storm/Sanitary Sewers</t>
  </si>
  <si>
    <t>Roofing</t>
  </si>
  <si>
    <t>Non-Residential Building</t>
  </si>
  <si>
    <t>Interior</t>
  </si>
  <si>
    <t>Residential Building - low density</t>
  </si>
  <si>
    <t>Bitumen</t>
  </si>
  <si>
    <t>Residential Building - medium density</t>
  </si>
  <si>
    <t>Polyethylene pipes</t>
  </si>
  <si>
    <t>Residential Building - high density</t>
  </si>
  <si>
    <t>Plant and equipment</t>
  </si>
  <si>
    <t>Vehicles</t>
  </si>
  <si>
    <t>Electrical equipment</t>
  </si>
  <si>
    <t>Machinery &amp; Equipment</t>
  </si>
  <si>
    <t>Road equipment</t>
  </si>
  <si>
    <t>Office Equipment &amp; IT</t>
  </si>
  <si>
    <t>Water equipment</t>
  </si>
  <si>
    <t>Total Municipal Capital Expenditure</t>
  </si>
  <si>
    <t>Diesel</t>
  </si>
  <si>
    <t>US Import exposure</t>
  </si>
  <si>
    <t>Tariff</t>
  </si>
  <si>
    <t>% Retail</t>
  </si>
  <si>
    <t>Core Inputs</t>
  </si>
  <si>
    <t>Year</t>
  </si>
  <si>
    <t>Asset</t>
  </si>
  <si>
    <t>Input</t>
  </si>
  <si>
    <t>Baseline Capex</t>
  </si>
  <si>
    <t>Electrical Equipment</t>
  </si>
  <si>
    <t>Labour</t>
  </si>
  <si>
    <t>Engineering design</t>
  </si>
  <si>
    <t>Estimated tariff impact by asset and material type</t>
  </si>
  <si>
    <t>Figure 1: Estimated tariff impact by asset type</t>
  </si>
  <si>
    <t>Figure 2: Estimated tariff impact by material</t>
  </si>
  <si>
    <t>Detailed breakdown of estimated tariff impact by asset and material type</t>
  </si>
  <si>
    <t>Impact</t>
  </si>
  <si>
    <t>%</t>
  </si>
  <si>
    <t>Share</t>
  </si>
  <si>
    <t>Exposure</t>
  </si>
  <si>
    <t>Total</t>
  </si>
  <si>
    <t>Detailed Breakdown</t>
  </si>
  <si>
    <t>A machine readable output table that can be imported into other visualisations or software packages</t>
  </si>
  <si>
    <t>Asset Capex ($bn)</t>
  </si>
  <si>
    <t>% increase</t>
  </si>
  <si>
    <t>Core Input Assumptions</t>
  </si>
  <si>
    <t>Core Outputs</t>
  </si>
  <si>
    <t>Summary Charts</t>
  </si>
  <si>
    <t>Summary Dynamic Text</t>
  </si>
  <si>
    <t>Tariff Impact Ranking</t>
  </si>
  <si>
    <t>Initial Capex Ranking</t>
  </si>
  <si>
    <t>Detailed Breakdown Outputs</t>
  </si>
  <si>
    <t>Detailed Breakdown Dynamic Text</t>
  </si>
  <si>
    <t>1a. Input Intensity</t>
  </si>
  <si>
    <t>Inputs</t>
  </si>
  <si>
    <t>1b. US Import Exposure</t>
  </si>
  <si>
    <t>1c. Tariffs and Other Assumptions</t>
  </si>
  <si>
    <t>Tariff rates</t>
  </si>
  <si>
    <t>#</t>
  </si>
  <si>
    <t>Asset Capex</t>
  </si>
  <si>
    <t>Helper 1</t>
  </si>
  <si>
    <t>Helper 2</t>
  </si>
  <si>
    <t>Municipality</t>
  </si>
  <si>
    <t>Selected Material</t>
  </si>
  <si>
    <t>Item</t>
  </si>
  <si>
    <t>Value</t>
  </si>
  <si>
    <t>Pre-Tariff Capex</t>
  </si>
  <si>
    <t>N/A</t>
  </si>
  <si>
    <t>Base</t>
  </si>
  <si>
    <t>Top 3 assets capex</t>
  </si>
  <si>
    <t>Helper</t>
  </si>
  <si>
    <t>Input Ranking</t>
  </si>
  <si>
    <t>Sum Impact</t>
  </si>
  <si>
    <t>Increase</t>
  </si>
  <si>
    <t>Capex post tariff</t>
  </si>
  <si>
    <t>Top 2 assets increasing</t>
  </si>
  <si>
    <t>Initial Capex Ranked</t>
  </si>
  <si>
    <t>Initial Capex</t>
  </si>
  <si>
    <t>Value 2</t>
  </si>
  <si>
    <t>Tariff rate</t>
  </si>
  <si>
    <t>Initial Capex (FY26 &amp; FY27)</t>
  </si>
  <si>
    <t>Check if 100%</t>
  </si>
  <si>
    <t>Selected Project:</t>
  </si>
  <si>
    <t>Project</t>
  </si>
  <si>
    <t>Average Share</t>
  </si>
  <si>
    <t>Additionally, if you'd like to customize your input with project-level details, fill out the table below — this is entirely optional.</t>
  </si>
  <si>
    <t>Other</t>
  </si>
  <si>
    <t>Retail</t>
  </si>
  <si>
    <t>If "Other", please specify</t>
  </si>
  <si>
    <t>Project Name:</t>
  </si>
  <si>
    <t>Checks</t>
  </si>
  <si>
    <t>Duplicate check</t>
  </si>
  <si>
    <t>The cells to the right can be copied down to reinstate default formulas &gt;&gt;&gt;</t>
  </si>
  <si>
    <t>Baseline Capex ($mn)</t>
  </si>
  <si>
    <t>Capex post tariff - appropriately scaled</t>
  </si>
  <si>
    <t>Increase - appropriately scaled</t>
  </si>
  <si>
    <t>Assets</t>
  </si>
  <si>
    <t>Optional Project-Level Input</t>
  </si>
  <si>
    <t>Asset Capex ($mn)</t>
  </si>
  <si>
    <t>Impact ($mn)</t>
  </si>
  <si>
    <t>New Fire Station on Main Street</t>
  </si>
  <si>
    <t>Firetrucks</t>
  </si>
  <si>
    <t>CAPEX</t>
  </si>
  <si>
    <r>
      <t xml:space="preserve">Please confirm that the local tariff rates for the following materials in the </t>
    </r>
    <r>
      <rPr>
        <b/>
        <i/>
        <sz val="14"/>
        <color rgb="FF006600"/>
        <rFont val="Calibri"/>
        <family val="2"/>
        <scheme val="minor"/>
      </rPr>
      <t>green input cells</t>
    </r>
    <r>
      <rPr>
        <i/>
        <sz val="14"/>
        <color theme="1"/>
        <rFont val="Calibri"/>
        <family val="2"/>
        <scheme val="minor"/>
      </rPr>
      <t xml:space="preserve"> below still apply:</t>
    </r>
  </si>
  <si>
    <r>
      <t xml:space="preserve">Please enter your Municipality's expected capital expenditure ($mn) by the following asset types for FY26 and FY27 in the </t>
    </r>
    <r>
      <rPr>
        <b/>
        <i/>
        <sz val="14"/>
        <color rgb="FF006600"/>
        <rFont val="Calibri"/>
        <family val="2"/>
        <scheme val="minor"/>
      </rPr>
      <t>green input cells</t>
    </r>
    <r>
      <rPr>
        <i/>
        <sz val="14"/>
        <color theme="1"/>
        <rFont val="Calibri"/>
        <family val="2"/>
        <scheme val="minor"/>
      </rPr>
      <t xml:space="preserve"> below:</t>
    </r>
  </si>
  <si>
    <t>Link to useful Canadian Government website with the latest tariff developments</t>
  </si>
  <si>
    <t>Optional Project-Level Input Lists</t>
  </si>
  <si>
    <t>Optional Project-level Calculations</t>
  </si>
  <si>
    <t>Optional Project-Level Detailed Outputs</t>
  </si>
  <si>
    <t>Optional Project-Level Dynamic Text</t>
  </si>
  <si>
    <t>Optional Project Level Output Table</t>
  </si>
  <si>
    <t>This sheet features all calculations used to estimate all outputs</t>
  </si>
  <si>
    <t>orange text indicates manual overrides</t>
  </si>
  <si>
    <t>*average tariff across the two years</t>
  </si>
  <si>
    <t>Capex</t>
  </si>
  <si>
    <t>Capex - appropriately scaled</t>
  </si>
  <si>
    <t>Term/Category</t>
  </si>
  <si>
    <t>Construction input</t>
  </si>
  <si>
    <t>Total capex for the Asset Category (i.e. Roads)</t>
  </si>
  <si>
    <t>The material's share of Capex for the Asset</t>
  </si>
  <si>
    <t>Local import tariff rate for the specified material</t>
  </si>
  <si>
    <t>Direct increase in cost as a result of the tariff</t>
  </si>
  <si>
    <t>Relatively increase in capex for the material as a direct impact of the tariffs</t>
  </si>
  <si>
    <t>Mains, Catch basins, Manholes, Ponds (wet or dry), Treatment plant</t>
  </si>
  <si>
    <t>Municipal buildings (includes administrative offices, town hall, park facilities, arenas, firehalls, libraries, museums etc.)</t>
  </si>
  <si>
    <t>Light &amp; Medium vehicles (Pickup truck, SUV, Van),
Heavy vehicles (Dump Truck, Street Sweeper, Vacuum Truck – over 4500kg and require safety inspections),
Fire Truck, Buses</t>
  </si>
  <si>
    <t>Computers, desks, chairs</t>
  </si>
  <si>
    <t xml:space="preserve">Light equipment (small motorized equipment like lawnmowers, small utility vehicles, etc.), Medium equipment (mid-sized motorized equipment like riding lawnmowers, ice resurfacing, sidewalk plows, etc.), Heavy equipment (large motorized equipment like backhoe, bulldozer, excavator, grader, loader, tractor, etc.), Trailers </t>
  </si>
  <si>
    <t>Gravel roads; HCB Roads (concrete/asphalt) - Alternatively Arterial and Collector roads; 
LCB Roads (surface treated or chip seal) - Alternatively most Local roads; 
Sidewalks &amp; Curbs; 
Appurtenances (Road Signs, Streetlights, Traffic Signals)</t>
  </si>
  <si>
    <t>US Import Exposure</t>
  </si>
  <si>
    <t xml:space="preserve">A consolidated list of descriptions for terms and categories used throughout the tool </t>
  </si>
  <si>
    <t>Material/Input</t>
  </si>
  <si>
    <t xml:space="preserve">Asset category (i.e. roads, non-residential building, vehicles) </t>
  </si>
  <si>
    <t>Fiscal year; 1 April to 31 March</t>
  </si>
  <si>
    <t>Share of supply imported from the US</t>
  </si>
  <si>
    <t>Difference between wholesale price and retail price</t>
  </si>
  <si>
    <t>Expected annual capital expenditure for each input before tariffs were applied</t>
  </si>
  <si>
    <t>Bridge (over 3m span, falls under Ontario Structure Inspection Manual),
Culvert (under 3m span)</t>
  </si>
  <si>
    <t>Mains, Valves &amp; meters, Pump/lift stations, Treatment plant, Hydrant</t>
  </si>
  <si>
    <t>Social Housing - low density, detached dwellings of around 1 to 2 stories (e.g. standalone house)</t>
  </si>
  <si>
    <t>Social Housing - medium density, attached dwellings of up to several stores (e.g. small apartment block)</t>
  </si>
  <si>
    <t>Social Housing - high density, attached dwellings of more than several stories (e.g. medium to large apartment block)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</si>
</sst>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  <numFmt numFmtId="165" formatCode="0.0%"/>
    <numFmt numFmtId="166" formatCode="_-&quot;$&quot;* #,##0_-;\-&quot;$&quot;* #,##0_-;_-&quot;$&quot;* &quot;-&quot;?_-;_-@_-"/>
    <numFmt numFmtId="167" formatCode="&quot;FY&quot;yy"/>
    <numFmt numFmtId="168" formatCode="_-* #,##0_-;\-* #,##0_-;_-* &quot;-&quot;??_-;_-@_-"/>
    <numFmt numFmtId="169" formatCode="0.0"/>
    <numFmt numFmtId="170" formatCode="&quot;$&quot;#,##0.00"/>
    <numFmt numFmtId="171" formatCode="_-* #,##0.0_-;\-* #,##0.0_-;_-* &quot;-&quot;??_-;_-@_-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indexed="16"/>
      <name val="Credit Suisse Type Roman"/>
      <family val="2"/>
    </font>
    <font>
      <sz val="10"/>
      <color theme="0"/>
      <name val="Calibri"/>
      <family val="2"/>
      <scheme val="minor"/>
    </font>
    <font>
      <u/>
      <sz val="9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28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sz val="11"/>
      <color theme="1"/>
      <name val="Segoe UI"/>
      <family val="2"/>
    </font>
    <font>
      <sz val="11"/>
      <name val="Calibri"/>
      <family val="2"/>
    </font>
    <font>
      <sz val="2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7F7F7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sz val="11"/>
      <color theme="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9"/>
      <name val="Arial"/>
      <family val="2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1"/>
      <color rgb="FF006600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sz val="11"/>
      <color theme="1" tint="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i/>
      <sz val="14"/>
      <color rgb="FF0066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theme="5"/>
      <name val="Calibri"/>
      <family val="2"/>
      <scheme val="minor"/>
    </font>
    <font>
      <sz val="9"/>
      <color theme="1"/>
      <name val="Segoe UI"/>
      <family val="2"/>
    </font>
  </fonts>
  <fills count="1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5"/>
      </patternFill>
    </fill>
    <fill>
      <patternFill patternType="solid">
        <fgColor rgb="FF00206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/>
        <bgColor theme="4" tint="0.79998168889431442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E7F9DB"/>
        <bgColor indexed="64"/>
      </patternFill>
    </fill>
    <fill>
      <patternFill patternType="solid">
        <fgColor theme="7"/>
      </patternFill>
    </fill>
  </fills>
  <borders count="2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</borders>
  <cellStyleXfs count="2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4" fillId="3" borderId="0" applyNumberFormat="0" applyBorder="0" applyAlignment="0" applyProtection="0"/>
    <xf numFmtId="0" fontId="5" fillId="0" borderId="0"/>
    <xf numFmtId="0" fontId="6" fillId="0" borderId="0" applyNumberFormat="0" applyFill="0" applyBorder="0" applyAlignment="0" applyProtection="0"/>
    <xf numFmtId="0" fontId="1" fillId="0" borderId="0"/>
    <xf numFmtId="0" fontId="8" fillId="4" borderId="0" applyAlignment="0" applyProtection="0"/>
    <xf numFmtId="0" fontId="13" fillId="0" borderId="0"/>
    <xf numFmtId="0" fontId="39" fillId="17" borderId="1" applyNumberFormat="0" applyAlignment="0" applyProtection="0"/>
    <xf numFmtId="43" fontId="1" fillId="0" borderId="0" applyFont="0" applyFill="0" applyBorder="0" applyAlignment="0" applyProtection="0"/>
    <xf numFmtId="0" fontId="27" fillId="9" borderId="1" applyNumberFormat="0" applyAlignment="0" applyProtection="0"/>
    <xf numFmtId="0" fontId="28" fillId="0" borderId="9" applyNumberFormat="0" applyFill="0" applyAlignment="0" applyProtection="0"/>
    <xf numFmtId="0" fontId="1" fillId="10" borderId="10" applyNumberFormat="0" applyFont="0" applyAlignment="0" applyProtection="0"/>
    <xf numFmtId="0" fontId="30" fillId="0" borderId="0" applyNumberFormat="0" applyFill="0" applyBorder="0" applyAlignment="0" applyProtection="0"/>
    <xf numFmtId="0" fontId="2" fillId="6" borderId="1" applyAlignment="0" applyProtection="0"/>
    <xf numFmtId="0" fontId="1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" fillId="16" borderId="0" applyNumberFormat="0" applyBorder="0" applyAlignment="0" applyProtection="0"/>
    <xf numFmtId="0" fontId="4" fillId="18" borderId="0" applyNumberFormat="0" applyBorder="0" applyAlignment="0" applyProtection="0"/>
    <xf numFmtId="0" fontId="47" fillId="9" borderId="16" applyNumberFormat="0" applyAlignment="0" applyProtection="0"/>
  </cellStyleXfs>
  <cellXfs count="291">
    <xf numFmtId="0" fontId="0" fillId="0" borderId="0" xfId="0"/>
    <xf numFmtId="0" fontId="30" fillId="0" borderId="0" xfId="15" applyAlignment="1">
      <alignment vertical="center"/>
    </xf>
    <xf numFmtId="0" fontId="1" fillId="0" borderId="0" xfId="5" applyFont="1" applyAlignment="1">
      <alignment vertical="center"/>
    </xf>
    <xf numFmtId="0" fontId="7" fillId="0" borderId="0" xfId="5" applyFont="1"/>
    <xf numFmtId="0" fontId="7" fillId="0" borderId="0" xfId="7" applyFont="1"/>
    <xf numFmtId="0" fontId="1" fillId="0" borderId="0" xfId="5" applyFont="1"/>
    <xf numFmtId="0" fontId="9" fillId="0" borderId="0" xfId="5" applyFont="1"/>
    <xf numFmtId="0" fontId="7" fillId="0" borderId="3" xfId="5" applyFont="1" applyBorder="1"/>
    <xf numFmtId="0" fontId="10" fillId="5" borderId="0" xfId="5" applyFont="1" applyFill="1"/>
    <xf numFmtId="0" fontId="7" fillId="5" borderId="0" xfId="5" applyFont="1" applyFill="1"/>
    <xf numFmtId="0" fontId="11" fillId="5" borderId="0" xfId="6" applyFont="1" applyFill="1" applyAlignment="1">
      <alignment vertical="center"/>
    </xf>
    <xf numFmtId="0" fontId="10" fillId="4" borderId="0" xfId="9" applyFont="1" applyFill="1" applyAlignment="1">
      <alignment horizontal="left" vertical="center"/>
    </xf>
    <xf numFmtId="0" fontId="14" fillId="4" borderId="0" xfId="9" applyFont="1" applyFill="1" applyAlignment="1">
      <alignment horizontal="left" vertical="center"/>
    </xf>
    <xf numFmtId="0" fontId="14" fillId="4" borderId="0" xfId="9" applyFont="1" applyFill="1" applyAlignment="1">
      <alignment vertical="center"/>
    </xf>
    <xf numFmtId="0" fontId="15" fillId="4" borderId="0" xfId="6" applyFont="1" applyFill="1" applyAlignment="1">
      <alignment vertical="center"/>
    </xf>
    <xf numFmtId="0" fontId="17" fillId="4" borderId="0" xfId="9" applyFont="1" applyFill="1" applyAlignment="1">
      <alignment vertic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4" xfId="0" applyBorder="1" applyAlignment="1">
      <alignment vertical="center"/>
    </xf>
    <xf numFmtId="0" fontId="4" fillId="3" borderId="3" xfId="4" applyBorder="1" applyAlignment="1">
      <alignment vertical="center"/>
    </xf>
    <xf numFmtId="0" fontId="4" fillId="3" borderId="5" xfId="4" applyBorder="1" applyAlignment="1">
      <alignment horizontal="center" vertical="center"/>
    </xf>
    <xf numFmtId="0" fontId="19" fillId="0" borderId="0" xfId="0" applyFont="1" applyAlignment="1">
      <alignment vertical="top" wrapText="1"/>
    </xf>
    <xf numFmtId="0" fontId="0" fillId="0" borderId="0" xfId="0" applyAlignment="1">
      <alignment horizontal="right"/>
    </xf>
    <xf numFmtId="9" fontId="39" fillId="17" borderId="1" xfId="10" applyNumberFormat="1" applyAlignment="1">
      <alignment horizontal="center" vertical="center"/>
    </xf>
    <xf numFmtId="0" fontId="20" fillId="4" borderId="0" xfId="8" applyFont="1" applyAlignment="1">
      <alignment vertical="center"/>
    </xf>
    <xf numFmtId="0" fontId="21" fillId="4" borderId="0" xfId="9" applyFont="1" applyFill="1" applyAlignment="1">
      <alignment vertical="center"/>
    </xf>
    <xf numFmtId="0" fontId="22" fillId="0" borderId="0" xfId="0" applyFont="1"/>
    <xf numFmtId="164" fontId="0" fillId="0" borderId="0" xfId="1" applyNumberFormat="1" applyFont="1"/>
    <xf numFmtId="0" fontId="3" fillId="7" borderId="0" xfId="0" applyFont="1" applyFill="1"/>
    <xf numFmtId="0" fontId="3" fillId="7" borderId="0" xfId="0" applyFont="1" applyFill="1" applyAlignment="1">
      <alignment horizontal="center"/>
    </xf>
    <xf numFmtId="165" fontId="0" fillId="0" borderId="0" xfId="2" applyNumberFormat="1" applyFont="1" applyBorder="1"/>
    <xf numFmtId="164" fontId="3" fillId="7" borderId="0" xfId="1" applyNumberFormat="1" applyFont="1" applyFill="1" applyBorder="1" applyAlignment="1">
      <alignment horizontal="center"/>
    </xf>
    <xf numFmtId="0" fontId="1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2" fillId="0" borderId="4" xfId="0" applyFont="1" applyBorder="1" applyAlignment="1">
      <alignment vertical="center"/>
    </xf>
    <xf numFmtId="9" fontId="0" fillId="0" borderId="4" xfId="2" applyFont="1" applyBorder="1" applyAlignment="1">
      <alignment horizontal="center"/>
    </xf>
    <xf numFmtId="9" fontId="0" fillId="0" borderId="4" xfId="2" applyFont="1" applyBorder="1"/>
    <xf numFmtId="164" fontId="3" fillId="7" borderId="6" xfId="1" applyNumberFormat="1" applyFont="1" applyFill="1" applyBorder="1" applyAlignment="1">
      <alignment horizontal="center"/>
    </xf>
    <xf numFmtId="165" fontId="0" fillId="0" borderId="7" xfId="2" applyNumberFormat="1" applyFont="1" applyBorder="1"/>
    <xf numFmtId="164" fontId="0" fillId="0" borderId="0" xfId="0" applyNumberFormat="1"/>
    <xf numFmtId="0" fontId="0" fillId="0" borderId="3" xfId="0" applyBorder="1"/>
    <xf numFmtId="0" fontId="24" fillId="0" borderId="0" xfId="0" applyFont="1"/>
    <xf numFmtId="167" fontId="0" fillId="0" borderId="0" xfId="2" applyNumberFormat="1" applyFont="1" applyFill="1" applyBorder="1"/>
    <xf numFmtId="0" fontId="25" fillId="0" borderId="0" xfId="0" applyFont="1"/>
    <xf numFmtId="0" fontId="16" fillId="0" borderId="0" xfId="0" applyFont="1" applyAlignment="1">
      <alignment vertical="top"/>
    </xf>
    <xf numFmtId="0" fontId="16" fillId="0" borderId="0" xfId="0" applyFont="1"/>
    <xf numFmtId="0" fontId="16" fillId="0" borderId="0" xfId="0" quotePrefix="1" applyFont="1" applyAlignment="1">
      <alignment vertical="top"/>
    </xf>
    <xf numFmtId="0" fontId="26" fillId="0" borderId="0" xfId="0" applyFont="1"/>
    <xf numFmtId="0" fontId="2" fillId="2" borderId="1" xfId="3" applyAlignment="1"/>
    <xf numFmtId="0" fontId="16" fillId="0" borderId="0" xfId="0" applyFont="1" applyAlignment="1">
      <alignment horizontal="left" vertical="top" wrapText="1"/>
    </xf>
    <xf numFmtId="164" fontId="3" fillId="7" borderId="8" xfId="1" applyNumberFormat="1" applyFont="1" applyFill="1" applyBorder="1" applyAlignment="1">
      <alignment horizontal="center"/>
    </xf>
    <xf numFmtId="0" fontId="32" fillId="12" borderId="0" xfId="0" applyFont="1" applyFill="1"/>
    <xf numFmtId="10" fontId="32" fillId="12" borderId="0" xfId="0" applyNumberFormat="1" applyFont="1" applyFill="1" applyAlignment="1">
      <alignment horizontal="center"/>
    </xf>
    <xf numFmtId="9" fontId="0" fillId="12" borderId="0" xfId="2" applyFont="1" applyFill="1" applyBorder="1" applyAlignment="1">
      <alignment horizontal="center"/>
    </xf>
    <xf numFmtId="9" fontId="0" fillId="11" borderId="0" xfId="2" applyFont="1" applyFill="1" applyBorder="1" applyAlignment="1">
      <alignment horizontal="center"/>
    </xf>
    <xf numFmtId="10" fontId="0" fillId="11" borderId="0" xfId="2" applyNumberFormat="1" applyFont="1" applyFill="1"/>
    <xf numFmtId="0" fontId="2" fillId="2" borderId="1" xfId="3"/>
    <xf numFmtId="0" fontId="2" fillId="2" borderId="1" xfId="3" applyAlignment="1">
      <alignment vertical="center"/>
    </xf>
    <xf numFmtId="0" fontId="30" fillId="0" borderId="0" xfId="15"/>
    <xf numFmtId="167" fontId="30" fillId="0" borderId="0" xfId="15" applyNumberFormat="1" applyBorder="1"/>
    <xf numFmtId="167" fontId="27" fillId="9" borderId="1" xfId="12" applyNumberFormat="1"/>
    <xf numFmtId="167" fontId="2" fillId="2" borderId="1" xfId="3" applyNumberFormat="1"/>
    <xf numFmtId="9" fontId="2" fillId="2" borderId="1" xfId="3" applyNumberFormat="1" applyAlignment="1">
      <alignment horizontal="center"/>
    </xf>
    <xf numFmtId="167" fontId="4" fillId="3" borderId="5" xfId="4" applyNumberFormat="1" applyBorder="1" applyAlignment="1">
      <alignment horizontal="center" vertical="center"/>
    </xf>
    <xf numFmtId="2" fontId="0" fillId="11" borderId="0" xfId="1" applyNumberFormat="1" applyFont="1" applyFill="1" applyBorder="1"/>
    <xf numFmtId="2" fontId="0" fillId="11" borderId="0" xfId="0" applyNumberFormat="1" applyFill="1"/>
    <xf numFmtId="0" fontId="10" fillId="4" borderId="0" xfId="9" applyFont="1" applyFill="1" applyAlignment="1">
      <alignment horizontal="center" vertical="center"/>
    </xf>
    <xf numFmtId="2" fontId="0" fillId="0" borderId="0" xfId="0" applyNumberFormat="1"/>
    <xf numFmtId="0" fontId="3" fillId="0" borderId="0" xfId="0" applyFont="1"/>
    <xf numFmtId="2" fontId="3" fillId="0" borderId="0" xfId="0" applyNumberFormat="1" applyFont="1"/>
    <xf numFmtId="0" fontId="0" fillId="10" borderId="10" xfId="14" applyFont="1" applyAlignment="1">
      <alignment wrapText="1"/>
    </xf>
    <xf numFmtId="0" fontId="33" fillId="0" borderId="0" xfId="0" applyFont="1"/>
    <xf numFmtId="169" fontId="0" fillId="0" borderId="0" xfId="0" applyNumberFormat="1"/>
    <xf numFmtId="9" fontId="0" fillId="0" borderId="0" xfId="2" applyFont="1"/>
    <xf numFmtId="0" fontId="2" fillId="6" borderId="1" xfId="16"/>
    <xf numFmtId="0" fontId="2" fillId="6" borderId="1" xfId="16" applyAlignment="1"/>
    <xf numFmtId="0" fontId="34" fillId="0" borderId="0" xfId="0" applyFont="1"/>
    <xf numFmtId="0" fontId="29" fillId="8" borderId="11" xfId="0" applyFont="1" applyFill="1" applyBorder="1"/>
    <xf numFmtId="2" fontId="28" fillId="0" borderId="9" xfId="13" applyNumberFormat="1" applyAlignment="1">
      <alignment horizontal="center"/>
    </xf>
    <xf numFmtId="167" fontId="35" fillId="0" borderId="0" xfId="15" applyNumberFormat="1" applyFont="1" applyFill="1" applyBorder="1"/>
    <xf numFmtId="9" fontId="18" fillId="0" borderId="0" xfId="2" applyFont="1" applyFill="1" applyBorder="1" applyAlignment="1">
      <alignment horizontal="center"/>
    </xf>
    <xf numFmtId="2" fontId="18" fillId="0" borderId="0" xfId="1" applyNumberFormat="1" applyFont="1" applyFill="1" applyBorder="1"/>
    <xf numFmtId="0" fontId="29" fillId="8" borderId="13" xfId="0" applyFont="1" applyFill="1" applyBorder="1"/>
    <xf numFmtId="0" fontId="29" fillId="8" borderId="13" xfId="0" applyFont="1" applyFill="1" applyBorder="1" applyAlignment="1">
      <alignment horizontal="center"/>
    </xf>
    <xf numFmtId="0" fontId="18" fillId="0" borderId="0" xfId="0" applyFont="1"/>
    <xf numFmtId="2" fontId="18" fillId="0" borderId="0" xfId="13" applyNumberFormat="1" applyFont="1" applyFill="1" applyBorder="1" applyAlignment="1">
      <alignment horizontal="center"/>
    </xf>
    <xf numFmtId="2" fontId="18" fillId="0" borderId="0" xfId="0" applyNumberFormat="1" applyFont="1"/>
    <xf numFmtId="10" fontId="18" fillId="0" borderId="0" xfId="2" applyNumberFormat="1" applyFont="1" applyFill="1" applyBorder="1"/>
    <xf numFmtId="0" fontId="29" fillId="8" borderId="0" xfId="0" applyFont="1" applyFill="1" applyAlignment="1">
      <alignment horizontal="center"/>
    </xf>
    <xf numFmtId="2" fontId="0" fillId="0" borderId="0" xfId="2" applyNumberFormat="1" applyFont="1"/>
    <xf numFmtId="2" fontId="10" fillId="4" borderId="0" xfId="9" applyNumberFormat="1" applyFont="1" applyFill="1" applyAlignment="1">
      <alignment horizontal="left" vertical="center"/>
    </xf>
    <xf numFmtId="2" fontId="0" fillId="0" borderId="0" xfId="0" applyNumberFormat="1" applyAlignment="1">
      <alignment wrapText="1"/>
    </xf>
    <xf numFmtId="2" fontId="29" fillId="8" borderId="13" xfId="0" applyNumberFormat="1" applyFont="1" applyFill="1" applyBorder="1" applyAlignment="1">
      <alignment horizontal="center"/>
    </xf>
    <xf numFmtId="0" fontId="29" fillId="8" borderId="12" xfId="0" applyFont="1" applyFill="1" applyBorder="1"/>
    <xf numFmtId="0" fontId="0" fillId="0" borderId="0" xfId="0" applyAlignment="1">
      <alignment horizontal="center" wrapText="1"/>
    </xf>
    <xf numFmtId="2" fontId="0" fillId="0" borderId="0" xfId="0" applyNumberFormat="1" applyAlignment="1">
      <alignment horizontal="center"/>
    </xf>
    <xf numFmtId="2" fontId="18" fillId="0" borderId="0" xfId="2" applyNumberFormat="1" applyFont="1" applyFill="1" applyBorder="1"/>
    <xf numFmtId="167" fontId="29" fillId="8" borderId="12" xfId="0" applyNumberFormat="1" applyFont="1" applyFill="1" applyBorder="1" applyAlignment="1">
      <alignment horizontal="center"/>
    </xf>
    <xf numFmtId="9" fontId="0" fillId="0" borderId="6" xfId="2" applyFont="1" applyBorder="1" applyAlignment="1">
      <alignment horizontal="right"/>
    </xf>
    <xf numFmtId="9" fontId="0" fillId="0" borderId="8" xfId="2" applyFont="1" applyBorder="1" applyAlignment="1">
      <alignment horizontal="right"/>
    </xf>
    <xf numFmtId="169" fontId="0" fillId="0" borderId="6" xfId="1" applyNumberFormat="1" applyFont="1" applyBorder="1" applyAlignment="1">
      <alignment horizontal="right"/>
    </xf>
    <xf numFmtId="169" fontId="0" fillId="0" borderId="0" xfId="1" applyNumberFormat="1" applyFont="1" applyBorder="1" applyAlignment="1">
      <alignment horizontal="right"/>
    </xf>
    <xf numFmtId="165" fontId="0" fillId="0" borderId="6" xfId="2" applyNumberFormat="1" applyFont="1" applyBorder="1" applyAlignment="1">
      <alignment horizontal="right"/>
    </xf>
    <xf numFmtId="165" fontId="0" fillId="0" borderId="0" xfId="2" applyNumberFormat="1" applyFont="1" applyBorder="1" applyAlignment="1">
      <alignment horizontal="right"/>
    </xf>
    <xf numFmtId="9" fontId="18" fillId="0" borderId="6" xfId="2" applyFont="1" applyBorder="1" applyAlignment="1">
      <alignment horizontal="right"/>
    </xf>
    <xf numFmtId="9" fontId="18" fillId="0" borderId="8" xfId="2" applyFont="1" applyBorder="1" applyAlignment="1">
      <alignment horizontal="right"/>
    </xf>
    <xf numFmtId="169" fontId="18" fillId="0" borderId="6" xfId="1" applyNumberFormat="1" applyFont="1" applyBorder="1" applyAlignment="1">
      <alignment horizontal="right"/>
    </xf>
    <xf numFmtId="169" fontId="18" fillId="0" borderId="0" xfId="1" applyNumberFormat="1" applyFont="1" applyBorder="1" applyAlignment="1">
      <alignment horizontal="right"/>
    </xf>
    <xf numFmtId="165" fontId="18" fillId="0" borderId="6" xfId="2" applyNumberFormat="1" applyFont="1" applyBorder="1" applyAlignment="1">
      <alignment horizontal="right"/>
    </xf>
    <xf numFmtId="165" fontId="18" fillId="0" borderId="0" xfId="2" applyNumberFormat="1" applyFont="1" applyBorder="1" applyAlignment="1">
      <alignment horizontal="right"/>
    </xf>
    <xf numFmtId="9" fontId="2" fillId="6" borderId="1" xfId="2" applyFont="1" applyFill="1" applyBorder="1"/>
    <xf numFmtId="9" fontId="0" fillId="0" borderId="0" xfId="2" applyFont="1" applyFill="1" applyBorder="1" applyAlignment="1">
      <alignment horizontal="center"/>
    </xf>
    <xf numFmtId="0" fontId="29" fillId="8" borderId="13" xfId="0" applyFont="1" applyFill="1" applyBorder="1" applyAlignment="1">
      <alignment horizontal="left"/>
    </xf>
    <xf numFmtId="167" fontId="0" fillId="0" borderId="0" xfId="0" applyNumberFormat="1" applyAlignment="1">
      <alignment horizontal="center"/>
    </xf>
    <xf numFmtId="0" fontId="4" fillId="3" borderId="0" xfId="4"/>
    <xf numFmtId="0" fontId="4" fillId="3" borderId="0" xfId="4" applyAlignment="1">
      <alignment horizontal="center"/>
    </xf>
    <xf numFmtId="2" fontId="10" fillId="4" borderId="0" xfId="9" applyNumberFormat="1" applyFont="1" applyFill="1" applyAlignment="1">
      <alignment horizontal="center" vertical="center"/>
    </xf>
    <xf numFmtId="9" fontId="0" fillId="0" borderId="0" xfId="0" applyNumberFormat="1"/>
    <xf numFmtId="2" fontId="0" fillId="0" borderId="0" xfId="2" applyNumberFormat="1" applyFont="1" applyBorder="1" applyAlignment="1">
      <alignment horizontal="right"/>
    </xf>
    <xf numFmtId="2" fontId="0" fillId="0" borderId="6" xfId="2" applyNumberFormat="1" applyFont="1" applyBorder="1" applyAlignment="1">
      <alignment horizontal="right"/>
    </xf>
    <xf numFmtId="2" fontId="0" fillId="0" borderId="8" xfId="2" applyNumberFormat="1" applyFont="1" applyBorder="1" applyAlignment="1">
      <alignment horizontal="right"/>
    </xf>
    <xf numFmtId="9" fontId="0" fillId="0" borderId="0" xfId="2" applyFont="1" applyAlignment="1">
      <alignment horizontal="center"/>
    </xf>
    <xf numFmtId="168" fontId="0" fillId="0" borderId="0" xfId="11" applyNumberFormat="1" applyFont="1" applyAlignment="1">
      <alignment horizontal="center"/>
    </xf>
    <xf numFmtId="9" fontId="35" fillId="0" borderId="0" xfId="2" applyFont="1" applyFill="1" applyBorder="1"/>
    <xf numFmtId="0" fontId="2" fillId="6" borderId="1" xfId="16" applyAlignment="1">
      <alignment horizontal="center"/>
    </xf>
    <xf numFmtId="2" fontId="2" fillId="6" borderId="1" xfId="11" applyNumberFormat="1" applyFont="1" applyFill="1" applyBorder="1" applyAlignment="1">
      <alignment horizontal="center"/>
    </xf>
    <xf numFmtId="170" fontId="0" fillId="0" borderId="0" xfId="0" applyNumberFormat="1"/>
    <xf numFmtId="170" fontId="18" fillId="0" borderId="0" xfId="2" applyNumberFormat="1" applyFont="1" applyFill="1" applyBorder="1" applyAlignment="1">
      <alignment horizontal="center"/>
    </xf>
    <xf numFmtId="2" fontId="18" fillId="0" borderId="0" xfId="2" applyNumberFormat="1" applyFont="1" applyFill="1" applyBorder="1" applyAlignment="1">
      <alignment horizontal="center"/>
    </xf>
    <xf numFmtId="165" fontId="10" fillId="4" borderId="0" xfId="2" applyNumberFormat="1" applyFont="1" applyFill="1" applyAlignment="1">
      <alignment horizontal="center" vertical="center"/>
    </xf>
    <xf numFmtId="165" fontId="0" fillId="0" borderId="0" xfId="2" applyNumberFormat="1" applyFont="1" applyAlignment="1">
      <alignment horizontal="center"/>
    </xf>
    <xf numFmtId="165" fontId="29" fillId="8" borderId="13" xfId="2" applyNumberFormat="1" applyFont="1" applyFill="1" applyBorder="1" applyAlignment="1">
      <alignment horizontal="center"/>
    </xf>
    <xf numFmtId="2" fontId="0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 applyAlignment="1">
      <alignment horizontal="center"/>
    </xf>
    <xf numFmtId="164" fontId="0" fillId="0" borderId="0" xfId="1" applyNumberFormat="1" applyFont="1" applyFill="1" applyBorder="1" applyAlignment="1">
      <alignment horizontal="center"/>
    </xf>
    <xf numFmtId="166" fontId="0" fillId="0" borderId="0" xfId="0" applyNumberFormat="1" applyAlignment="1">
      <alignment horizontal="center"/>
    </xf>
    <xf numFmtId="0" fontId="29" fillId="8" borderId="13" xfId="0" applyFont="1" applyFill="1" applyBorder="1" applyAlignment="1">
      <alignment horizontal="center" wrapText="1"/>
    </xf>
    <xf numFmtId="2" fontId="0" fillId="0" borderId="0" xfId="2" applyNumberFormat="1" applyFont="1" applyFill="1" applyBorder="1" applyAlignment="1">
      <alignment horizontal="center"/>
    </xf>
    <xf numFmtId="167" fontId="0" fillId="0" borderId="0" xfId="2" applyNumberFormat="1" applyFont="1" applyFill="1" applyBorder="1" applyAlignment="1">
      <alignment horizontal="center"/>
    </xf>
    <xf numFmtId="2" fontId="0" fillId="0" borderId="0" xfId="11" applyNumberFormat="1" applyFont="1" applyAlignment="1">
      <alignment horizontal="center"/>
    </xf>
    <xf numFmtId="2" fontId="4" fillId="3" borderId="0" xfId="4" applyNumberFormat="1"/>
    <xf numFmtId="2" fontId="0" fillId="0" borderId="0" xfId="2" applyNumberFormat="1" applyFont="1" applyAlignment="1">
      <alignment horizontal="center"/>
    </xf>
    <xf numFmtId="0" fontId="1" fillId="13" borderId="0" xfId="17"/>
    <xf numFmtId="0" fontId="1" fillId="13" borderId="0" xfId="17" applyAlignment="1">
      <alignment horizontal="center"/>
    </xf>
    <xf numFmtId="0" fontId="1" fillId="13" borderId="0" xfId="17" applyAlignment="1"/>
    <xf numFmtId="0" fontId="1" fillId="13" borderId="0" xfId="17" applyAlignment="1">
      <alignment wrapText="1"/>
    </xf>
    <xf numFmtId="0" fontId="1" fillId="13" borderId="0" xfId="17" applyBorder="1" applyAlignment="1">
      <alignment wrapText="1"/>
    </xf>
    <xf numFmtId="14" fontId="1" fillId="13" borderId="0" xfId="17" applyNumberFormat="1"/>
    <xf numFmtId="2" fontId="1" fillId="13" borderId="0" xfId="17" applyNumberFormat="1"/>
    <xf numFmtId="14" fontId="1" fillId="13" borderId="0" xfId="17" applyNumberFormat="1" applyBorder="1"/>
    <xf numFmtId="9" fontId="0" fillId="0" borderId="0" xfId="2" applyFont="1" applyBorder="1" applyAlignment="1">
      <alignment horizontal="center"/>
    </xf>
    <xf numFmtId="0" fontId="0" fillId="0" borderId="6" xfId="0" applyBorder="1"/>
    <xf numFmtId="167" fontId="1" fillId="13" borderId="0" xfId="17" applyNumberFormat="1" applyBorder="1" applyAlignment="1">
      <alignment horizontal="center" vertical="center"/>
    </xf>
    <xf numFmtId="0" fontId="4" fillId="3" borderId="0" xfId="4" applyBorder="1"/>
    <xf numFmtId="9" fontId="36" fillId="12" borderId="0" xfId="2" applyFont="1" applyFill="1" applyBorder="1" applyAlignment="1">
      <alignment horizontal="center"/>
    </xf>
    <xf numFmtId="0" fontId="1" fillId="16" borderId="0" xfId="20" applyBorder="1" applyAlignment="1">
      <alignment horizontal="center" wrapText="1"/>
    </xf>
    <xf numFmtId="0" fontId="1" fillId="16" borderId="0" xfId="20"/>
    <xf numFmtId="0" fontId="1" fillId="16" borderId="0" xfId="20" applyBorder="1"/>
    <xf numFmtId="167" fontId="1" fillId="16" borderId="0" xfId="20" applyNumberFormat="1" applyBorder="1" applyAlignment="1">
      <alignment horizontal="center" vertical="center"/>
    </xf>
    <xf numFmtId="0" fontId="1" fillId="16" borderId="0" xfId="20" applyBorder="1" applyAlignment="1">
      <alignment horizontal="center"/>
    </xf>
    <xf numFmtId="2" fontId="4" fillId="3" borderId="0" xfId="4" applyNumberFormat="1" applyAlignment="1">
      <alignment horizontal="center"/>
    </xf>
    <xf numFmtId="0" fontId="1" fillId="13" borderId="11" xfId="17" applyBorder="1" applyAlignment="1">
      <alignment wrapText="1"/>
    </xf>
    <xf numFmtId="0" fontId="1" fillId="13" borderId="11" xfId="17" applyBorder="1" applyAlignment="1">
      <alignment horizontal="center" wrapText="1"/>
    </xf>
    <xf numFmtId="0" fontId="8" fillId="4" borderId="0" xfId="8"/>
    <xf numFmtId="0" fontId="8" fillId="4" borderId="0" xfId="8" applyAlignment="1">
      <alignment horizontal="center"/>
    </xf>
    <xf numFmtId="0" fontId="1" fillId="13" borderId="0" xfId="17" applyBorder="1" applyAlignment="1">
      <alignment horizontal="center"/>
    </xf>
    <xf numFmtId="0" fontId="1" fillId="13" borderId="0" xfId="17" applyAlignment="1">
      <alignment horizontal="right" indent="1"/>
    </xf>
    <xf numFmtId="0" fontId="1" fillId="13" borderId="0" xfId="17" applyBorder="1" applyAlignment="1">
      <alignment horizontal="left"/>
    </xf>
    <xf numFmtId="2" fontId="0" fillId="0" borderId="0" xfId="11" applyNumberFormat="1" applyFont="1" applyBorder="1"/>
    <xf numFmtId="0" fontId="1" fillId="13" borderId="0" xfId="17" applyBorder="1"/>
    <xf numFmtId="0" fontId="1" fillId="13" borderId="0" xfId="17" applyBorder="1" applyAlignment="1"/>
    <xf numFmtId="167" fontId="1" fillId="13" borderId="0" xfId="17" applyNumberFormat="1" applyBorder="1" applyAlignment="1">
      <alignment horizontal="center"/>
    </xf>
    <xf numFmtId="167" fontId="1" fillId="13" borderId="6" xfId="17" applyNumberFormat="1" applyBorder="1" applyAlignment="1">
      <alignment horizontal="center"/>
    </xf>
    <xf numFmtId="9" fontId="0" fillId="0" borderId="6" xfId="2" applyFont="1" applyBorder="1"/>
    <xf numFmtId="9" fontId="0" fillId="0" borderId="0" xfId="2" applyFont="1" applyBorder="1"/>
    <xf numFmtId="0" fontId="1" fillId="16" borderId="0" xfId="20" applyAlignment="1">
      <alignment wrapText="1"/>
    </xf>
    <xf numFmtId="0" fontId="37" fillId="0" borderId="0" xfId="0" applyFont="1" applyAlignment="1">
      <alignment horizontal="right"/>
    </xf>
    <xf numFmtId="0" fontId="4" fillId="14" borderId="0" xfId="18" applyBorder="1" applyAlignment="1">
      <alignment horizontal="center"/>
    </xf>
    <xf numFmtId="0" fontId="4" fillId="14" borderId="0" xfId="18" applyBorder="1"/>
    <xf numFmtId="168" fontId="19" fillId="0" borderId="0" xfId="0" applyNumberFormat="1" applyFont="1" applyAlignment="1">
      <alignment vertical="top" wrapText="1"/>
    </xf>
    <xf numFmtId="168" fontId="0" fillId="0" borderId="7" xfId="11" applyNumberFormat="1" applyFont="1" applyBorder="1" applyAlignment="1">
      <alignment horizontal="center" vertical="center"/>
    </xf>
    <xf numFmtId="0" fontId="39" fillId="17" borderId="1" xfId="10" applyAlignment="1">
      <alignment horizontal="center"/>
    </xf>
    <xf numFmtId="14" fontId="39" fillId="17" borderId="1" xfId="10" applyNumberFormat="1" applyAlignment="1">
      <alignment horizontal="center"/>
    </xf>
    <xf numFmtId="168" fontId="39" fillId="17" borderId="1" xfId="10" applyNumberFormat="1" applyAlignment="1">
      <alignment horizontal="center" vertical="center"/>
    </xf>
    <xf numFmtId="0" fontId="4" fillId="14" borderId="6" xfId="18" applyBorder="1" applyAlignment="1">
      <alignment horizontal="center"/>
    </xf>
    <xf numFmtId="0" fontId="3" fillId="0" borderId="2" xfId="5" applyFont="1" applyBorder="1"/>
    <xf numFmtId="0" fontId="40" fillId="0" borderId="0" xfId="0" applyFont="1"/>
    <xf numFmtId="0" fontId="6" fillId="0" borderId="0" xfId="6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" fillId="0" borderId="0" xfId="5" applyFont="1"/>
    <xf numFmtId="0" fontId="6" fillId="0" borderId="0" xfId="6"/>
    <xf numFmtId="0" fontId="42" fillId="0" borderId="0" xfId="0" applyFont="1"/>
    <xf numFmtId="0" fontId="42" fillId="0" borderId="0" xfId="0" applyFont="1" applyAlignment="1">
      <alignment vertical="center"/>
    </xf>
    <xf numFmtId="0" fontId="42" fillId="0" borderId="3" xfId="0" applyFont="1" applyBorder="1" applyAlignment="1">
      <alignment vertical="center"/>
    </xf>
    <xf numFmtId="0" fontId="43" fillId="0" borderId="0" xfId="0" applyFont="1" applyAlignment="1">
      <alignment wrapText="1"/>
    </xf>
    <xf numFmtId="0" fontId="44" fillId="0" borderId="0" xfId="6" applyFont="1" applyAlignment="1">
      <alignment wrapText="1"/>
    </xf>
    <xf numFmtId="0" fontId="0" fillId="0" borderId="0" xfId="0" applyAlignment="1">
      <alignment horizontal="left"/>
    </xf>
    <xf numFmtId="0" fontId="4" fillId="14" borderId="0" xfId="18" applyBorder="1" applyAlignment="1">
      <alignment horizontal="left"/>
    </xf>
    <xf numFmtId="0" fontId="39" fillId="17" borderId="1" xfId="10" applyAlignment="1">
      <alignment horizontal="left"/>
    </xf>
    <xf numFmtId="0" fontId="4" fillId="14" borderId="15" xfId="18" applyBorder="1" applyAlignment="1">
      <alignment horizontal="center"/>
    </xf>
    <xf numFmtId="171" fontId="0" fillId="0" borderId="0" xfId="11" applyNumberFormat="1" applyFont="1"/>
    <xf numFmtId="168" fontId="0" fillId="0" borderId="0" xfId="11" applyNumberFormat="1" applyFont="1"/>
    <xf numFmtId="168" fontId="0" fillId="0" borderId="6" xfId="11" applyNumberFormat="1" applyFont="1" applyBorder="1"/>
    <xf numFmtId="168" fontId="0" fillId="0" borderId="0" xfId="11" applyNumberFormat="1" applyFont="1" applyBorder="1"/>
    <xf numFmtId="9" fontId="0" fillId="0" borderId="6" xfId="2" applyFont="1" applyBorder="1" applyAlignment="1">
      <alignment horizontal="center"/>
    </xf>
    <xf numFmtId="168" fontId="0" fillId="0" borderId="6" xfId="11" applyNumberFormat="1" applyFont="1" applyBorder="1" applyAlignment="1">
      <alignment horizontal="center"/>
    </xf>
    <xf numFmtId="168" fontId="0" fillId="0" borderId="0" xfId="11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18" borderId="6" xfId="21" applyBorder="1" applyAlignment="1">
      <alignment horizontal="center"/>
    </xf>
    <xf numFmtId="168" fontId="0" fillId="0" borderId="0" xfId="2" applyNumberFormat="1" applyFont="1" applyBorder="1"/>
    <xf numFmtId="43" fontId="0" fillId="0" borderId="0" xfId="0" applyNumberFormat="1"/>
    <xf numFmtId="2" fontId="2" fillId="6" borderId="1" xfId="16" applyNumberFormat="1" applyAlignment="1">
      <alignment horizontal="center"/>
    </xf>
    <xf numFmtId="171" fontId="4" fillId="3" borderId="0" xfId="11" applyNumberFormat="1" applyFont="1" applyFill="1"/>
    <xf numFmtId="171" fontId="2" fillId="6" borderId="1" xfId="11" applyNumberFormat="1" applyFont="1" applyFill="1" applyBorder="1" applyAlignment="1">
      <alignment horizontal="center"/>
    </xf>
    <xf numFmtId="168" fontId="4" fillId="3" borderId="0" xfId="11" applyNumberFormat="1" applyFont="1" applyFill="1"/>
    <xf numFmtId="171" fontId="10" fillId="4" borderId="0" xfId="11" applyNumberFormat="1" applyFont="1" applyFill="1" applyAlignment="1">
      <alignment horizontal="center" vertical="center"/>
    </xf>
    <xf numFmtId="171" fontId="4" fillId="3" borderId="0" xfId="11" applyNumberFormat="1" applyFont="1" applyFill="1" applyAlignment="1">
      <alignment horizontal="center"/>
    </xf>
    <xf numFmtId="171" fontId="0" fillId="0" borderId="0" xfId="11" applyNumberFormat="1" applyFont="1" applyAlignment="1">
      <alignment horizontal="center"/>
    </xf>
    <xf numFmtId="1" fontId="0" fillId="0" borderId="7" xfId="2" applyNumberFormat="1" applyFont="1" applyBorder="1"/>
    <xf numFmtId="1" fontId="0" fillId="0" borderId="14" xfId="2" applyNumberFormat="1" applyFont="1" applyBorder="1"/>
    <xf numFmtId="1" fontId="0" fillId="0" borderId="6" xfId="1" applyNumberFormat="1" applyFont="1" applyBorder="1" applyAlignment="1">
      <alignment horizontal="right"/>
    </xf>
    <xf numFmtId="1" fontId="0" fillId="0" borderId="0" xfId="1" applyNumberFormat="1" applyFont="1" applyBorder="1" applyAlignment="1">
      <alignment horizontal="right"/>
    </xf>
    <xf numFmtId="1" fontId="18" fillId="0" borderId="6" xfId="1" applyNumberFormat="1" applyFont="1" applyBorder="1" applyAlignment="1">
      <alignment horizontal="right"/>
    </xf>
    <xf numFmtId="1" fontId="18" fillId="0" borderId="0" xfId="1" applyNumberFormat="1" applyFont="1" applyBorder="1" applyAlignment="1">
      <alignment horizontal="right"/>
    </xf>
    <xf numFmtId="167" fontId="18" fillId="0" borderId="0" xfId="15" applyNumberFormat="1" applyFont="1" applyBorder="1"/>
    <xf numFmtId="167" fontId="1" fillId="13" borderId="0" xfId="17" applyNumberFormat="1" applyBorder="1" applyAlignment="1">
      <alignment horizontal="left"/>
    </xf>
    <xf numFmtId="9" fontId="4" fillId="3" borderId="0" xfId="2" applyFont="1" applyFill="1"/>
    <xf numFmtId="9" fontId="1" fillId="13" borderId="11" xfId="2" applyFill="1" applyBorder="1" applyAlignment="1">
      <alignment horizontal="center" wrapText="1"/>
    </xf>
    <xf numFmtId="171" fontId="1" fillId="13" borderId="11" xfId="11" applyNumberFormat="1" applyFill="1" applyBorder="1" applyAlignment="1">
      <alignment horizontal="center" wrapText="1"/>
    </xf>
    <xf numFmtId="168" fontId="1" fillId="13" borderId="11" xfId="11" applyNumberFormat="1" applyFill="1" applyBorder="1" applyAlignment="1">
      <alignment horizontal="center" wrapText="1"/>
    </xf>
    <xf numFmtId="165" fontId="0" fillId="0" borderId="0" xfId="2" applyNumberFormat="1" applyFont="1"/>
    <xf numFmtId="165" fontId="4" fillId="3" borderId="0" xfId="2" applyNumberFormat="1" applyFont="1" applyFill="1"/>
    <xf numFmtId="165" fontId="1" fillId="13" borderId="11" xfId="2" applyNumberFormat="1" applyFill="1" applyBorder="1" applyAlignment="1">
      <alignment horizontal="center" wrapText="1"/>
    </xf>
    <xf numFmtId="167" fontId="1" fillId="16" borderId="0" xfId="20" applyNumberFormat="1" applyBorder="1"/>
    <xf numFmtId="9" fontId="1" fillId="16" borderId="0" xfId="20" applyNumberFormat="1" applyBorder="1" applyAlignment="1">
      <alignment horizontal="center"/>
    </xf>
    <xf numFmtId="2" fontId="1" fillId="16" borderId="0" xfId="20" applyNumberFormat="1" applyBorder="1"/>
    <xf numFmtId="2" fontId="1" fillId="16" borderId="0" xfId="20" applyNumberFormat="1"/>
    <xf numFmtId="10" fontId="1" fillId="16" borderId="0" xfId="20" applyNumberFormat="1"/>
    <xf numFmtId="167" fontId="1" fillId="13" borderId="0" xfId="17" applyNumberFormat="1"/>
    <xf numFmtId="0" fontId="6" fillId="0" borderId="0" xfId="6" applyFill="1" applyBorder="1" applyAlignment="1">
      <alignment vertical="center"/>
    </xf>
    <xf numFmtId="0" fontId="4" fillId="0" borderId="6" xfId="0" applyFont="1" applyBorder="1"/>
    <xf numFmtId="0" fontId="46" fillId="0" borderId="0" xfId="15" applyFont="1" applyAlignment="1">
      <alignment horizontal="right"/>
    </xf>
    <xf numFmtId="9" fontId="0" fillId="0" borderId="0" xfId="2" applyFont="1" applyBorder="1" applyAlignment="1">
      <alignment horizontal="left"/>
    </xf>
    <xf numFmtId="0" fontId="0" fillId="0" borderId="0" xfId="0" applyAlignment="1">
      <alignment vertical="top"/>
    </xf>
    <xf numFmtId="9" fontId="47" fillId="9" borderId="16" xfId="22" applyNumberFormat="1" applyAlignment="1">
      <alignment horizontal="center"/>
    </xf>
    <xf numFmtId="0" fontId="48" fillId="5" borderId="0" xfId="5" applyFont="1" applyFill="1"/>
    <xf numFmtId="0" fontId="6" fillId="5" borderId="0" xfId="6" applyFill="1" applyAlignment="1">
      <alignment vertical="center"/>
    </xf>
    <xf numFmtId="0" fontId="49" fillId="0" borderId="0" xfId="0" applyFont="1" applyAlignment="1">
      <alignment vertical="center"/>
    </xf>
    <xf numFmtId="9" fontId="18" fillId="0" borderId="0" xfId="2" applyFont="1" applyBorder="1" applyAlignment="1">
      <alignment horizontal="center"/>
    </xf>
    <xf numFmtId="169" fontId="0" fillId="0" borderId="7" xfId="2" applyNumberFormat="1" applyFont="1" applyBorder="1"/>
    <xf numFmtId="169" fontId="0" fillId="0" borderId="14" xfId="2" applyNumberFormat="1" applyFont="1" applyBorder="1"/>
    <xf numFmtId="2" fontId="0" fillId="0" borderId="0" xfId="2" applyNumberFormat="1" applyFont="1" applyFill="1" applyBorder="1" applyAlignment="1">
      <alignment horizontal="center" vertical="top"/>
    </xf>
    <xf numFmtId="9" fontId="0" fillId="0" borderId="0" xfId="2" applyFont="1" applyFill="1" applyBorder="1" applyAlignment="1">
      <alignment horizontal="center" vertical="top"/>
    </xf>
    <xf numFmtId="2" fontId="0" fillId="0" borderId="0" xfId="1" applyNumberFormat="1" applyFont="1" applyFill="1" applyBorder="1" applyAlignment="1">
      <alignment horizontal="center" vertical="top"/>
    </xf>
    <xf numFmtId="2" fontId="0" fillId="0" borderId="0" xfId="0" applyNumberFormat="1" applyAlignment="1">
      <alignment horizontal="center" vertical="top"/>
    </xf>
    <xf numFmtId="165" fontId="0" fillId="0" borderId="0" xfId="2" applyNumberFormat="1" applyFont="1" applyFill="1" applyBorder="1" applyAlignment="1">
      <alignment horizontal="center" vertical="top"/>
    </xf>
    <xf numFmtId="167" fontId="0" fillId="0" borderId="0" xfId="2" applyNumberFormat="1" applyFont="1" applyFill="1" applyBorder="1" applyAlignment="1">
      <alignment vertical="top"/>
    </xf>
    <xf numFmtId="2" fontId="0" fillId="0" borderId="0" xfId="2" applyNumberFormat="1" applyFont="1" applyFill="1" applyBorder="1" applyAlignment="1">
      <alignment horizontal="left" vertical="top"/>
    </xf>
    <xf numFmtId="0" fontId="29" fillId="8" borderId="17" xfId="0" applyFont="1" applyFill="1" applyBorder="1" applyAlignment="1">
      <alignment horizontal="left" vertical="center"/>
    </xf>
    <xf numFmtId="0" fontId="29" fillId="8" borderId="23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165" fontId="0" fillId="0" borderId="0" xfId="2" applyNumberFormat="1" applyFont="1" applyAlignment="1">
      <alignment horizontal="center" vertical="center"/>
    </xf>
    <xf numFmtId="0" fontId="0" fillId="0" borderId="18" xfId="0" applyBorder="1" applyAlignment="1">
      <alignment horizontal="left" vertical="top"/>
    </xf>
    <xf numFmtId="0" fontId="0" fillId="0" borderId="24" xfId="0" applyBorder="1" applyAlignment="1">
      <alignment horizontal="left" vertical="top" wrapText="1"/>
    </xf>
    <xf numFmtId="0" fontId="0" fillId="0" borderId="19" xfId="0" applyBorder="1" applyAlignment="1">
      <alignment horizontal="left" vertical="top"/>
    </xf>
    <xf numFmtId="0" fontId="0" fillId="0" borderId="21" xfId="0" applyBorder="1" applyAlignment="1">
      <alignment horizontal="left" vertical="top" wrapText="1"/>
    </xf>
    <xf numFmtId="169" fontId="0" fillId="0" borderId="21" xfId="0" applyNumberFormat="1" applyBorder="1" applyAlignment="1">
      <alignment horizontal="left" vertical="top" wrapText="1"/>
    </xf>
    <xf numFmtId="0" fontId="0" fillId="0" borderId="19" xfId="0" applyBorder="1" applyAlignment="1">
      <alignment horizontal="left" vertical="top" wrapText="1"/>
    </xf>
    <xf numFmtId="0" fontId="0" fillId="0" borderId="20" xfId="0" applyBorder="1" applyAlignment="1">
      <alignment horizontal="left" vertical="top" wrapText="1"/>
    </xf>
    <xf numFmtId="0" fontId="0" fillId="0" borderId="22" xfId="0" applyBorder="1" applyAlignment="1">
      <alignment horizontal="left" vertical="top" wrapText="1"/>
    </xf>
    <xf numFmtId="0" fontId="38" fillId="0" borderId="0" xfId="0" applyFont="1" applyAlignment="1">
      <alignment horizontal="left" vertical="top" wrapText="1"/>
    </xf>
    <xf numFmtId="0" fontId="6" fillId="0" borderId="0" xfId="6" applyAlignment="1">
      <alignment horizontal="left" wrapText="1"/>
    </xf>
    <xf numFmtId="0" fontId="44" fillId="0" borderId="0" xfId="6" applyFont="1" applyAlignment="1">
      <alignment horizontal="left" wrapText="1"/>
    </xf>
    <xf numFmtId="0" fontId="4" fillId="14" borderId="6" xfId="18" applyBorder="1" applyAlignment="1">
      <alignment horizontal="center"/>
    </xf>
    <xf numFmtId="0" fontId="4" fillId="14" borderId="0" xfId="18" applyBorder="1" applyAlignment="1">
      <alignment horizontal="center"/>
    </xf>
    <xf numFmtId="0" fontId="16" fillId="0" borderId="0" xfId="0" applyFont="1" applyAlignment="1">
      <alignment horizontal="left" vertical="top" wrapText="1"/>
    </xf>
    <xf numFmtId="164" fontId="3" fillId="7" borderId="6" xfId="1" applyNumberFormat="1" applyFont="1" applyFill="1" applyBorder="1" applyAlignment="1">
      <alignment horizontal="center"/>
    </xf>
    <xf numFmtId="164" fontId="3" fillId="7" borderId="8" xfId="1" applyNumberFormat="1" applyFont="1" applyFill="1" applyBorder="1" applyAlignment="1">
      <alignment horizontal="center"/>
    </xf>
    <xf numFmtId="0" fontId="3" fillId="7" borderId="6" xfId="0" applyFont="1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4" fillId="3" borderId="0" xfId="4" applyAlignment="1">
      <alignment horizontal="center" vertical="top" textRotation="90"/>
    </xf>
    <xf numFmtId="0" fontId="1" fillId="13" borderId="6" xfId="17" applyBorder="1" applyAlignment="1">
      <alignment horizontal="center"/>
    </xf>
    <xf numFmtId="0" fontId="1" fillId="13" borderId="0" xfId="17" applyBorder="1" applyAlignment="1">
      <alignment horizontal="center"/>
    </xf>
    <xf numFmtId="2" fontId="1" fillId="13" borderId="0" xfId="17" applyNumberFormat="1" applyBorder="1" applyAlignment="1">
      <alignment horizontal="center"/>
    </xf>
    <xf numFmtId="170" fontId="1" fillId="13" borderId="0" xfId="17" applyNumberFormat="1" applyBorder="1" applyAlignment="1">
      <alignment horizontal="center"/>
    </xf>
    <xf numFmtId="0" fontId="1" fillId="16" borderId="0" xfId="20" applyBorder="1" applyAlignment="1">
      <alignment horizontal="center"/>
    </xf>
    <xf numFmtId="0" fontId="4" fillId="15" borderId="0" xfId="19" applyBorder="1" applyAlignment="1">
      <alignment horizontal="center" vertical="top" textRotation="90"/>
    </xf>
    <xf numFmtId="0" fontId="29" fillId="8" borderId="0" xfId="0" applyFont="1" applyFill="1" applyAlignment="1">
      <alignment horizontal="center"/>
    </xf>
    <xf numFmtId="0" fontId="4" fillId="3" borderId="0" xfId="4" applyBorder="1" applyAlignment="1">
      <alignment horizontal="center"/>
    </xf>
    <xf numFmtId="0" fontId="1" fillId="13" borderId="0" xfId="17" applyAlignment="1">
      <alignment horizontal="center"/>
    </xf>
  </cellXfs>
  <cellStyles count="23">
    <cellStyle name="%" xfId="9" xr:uid="{668EA327-1762-4F4D-8261-CEE03970B2A7}"/>
    <cellStyle name="20% - Accent2" xfId="17" builtinId="34"/>
    <cellStyle name="20% - Accent5" xfId="20" builtinId="46"/>
    <cellStyle name="Accent2" xfId="4" builtinId="33"/>
    <cellStyle name="Accent3" xfId="18" builtinId="37"/>
    <cellStyle name="Accent4" xfId="21" builtinId="41"/>
    <cellStyle name="Accent5" xfId="19" builtinId="45"/>
    <cellStyle name="Calculation" xfId="12" builtinId="22"/>
    <cellStyle name="Comma" xfId="11" builtinId="3"/>
    <cellStyle name="Currency" xfId="1" builtinId="4"/>
    <cellStyle name="Don't Delete" xfId="16" xr:uid="{6372C6E6-115F-4708-9891-5A5E5B1677C5}"/>
    <cellStyle name="Explanatory Text" xfId="15" builtinId="53"/>
    <cellStyle name="Hyperlink" xfId="6" builtinId="8"/>
    <cellStyle name="Input" xfId="3" builtinId="20" customBuiltin="1"/>
    <cellStyle name="Input 2" xfId="10" xr:uid="{D2010A67-EC1E-4FDB-9A27-F546FF892D88}"/>
    <cellStyle name="Linked Cell" xfId="13" builtinId="24"/>
    <cellStyle name="Normal" xfId="0" builtinId="0"/>
    <cellStyle name="Normal 2" xfId="7" xr:uid="{42DC6CF2-9826-42B5-A0E2-19BF23027044}"/>
    <cellStyle name="Normal 2 2" xfId="5" xr:uid="{6ABFFD17-FDA2-484E-9D57-F3432412B7F5}"/>
    <cellStyle name="Note" xfId="14" builtinId="10"/>
    <cellStyle name="Output" xfId="22" builtinId="21"/>
    <cellStyle name="Percent" xfId="2" builtinId="5"/>
    <cellStyle name="Sheet Title" xfId="8" xr:uid="{ACD9698B-D020-4D88-B0FC-F2B4C3014287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EE8E00"/>
      </font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E8E00"/>
      <color rgb="FFFF9900"/>
      <color rgb="FF006600"/>
      <color rgb="FFE7F9DB"/>
      <color rgb="FFE0F9CF"/>
      <color rgb="FF114444"/>
      <color rgb="FFD3F1D3"/>
      <color rgb="FF003300"/>
      <color rgb="FFD1FFD1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1260840246397653E-2"/>
          <c:y val="6.7958001505894899E-2"/>
          <c:w val="0.90550792726677864"/>
          <c:h val="0.5514440139539889"/>
        </c:manualLayout>
      </c:layout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[0]!Summary_Chart1_Assets</c:f>
              <c:strCache>
                <c:ptCount val="22"/>
                <c:pt idx="0">
                  <c:v>Roads</c:v>
                </c:pt>
                <c:pt idx="1">
                  <c:v>Non-Residential Building</c:v>
                </c:pt>
                <c:pt idx="2">
                  <c:v>Storm/Sanitary Sewers</c:v>
                </c:pt>
                <c:pt idx="3">
                  <c:v>Vehicles</c:v>
                </c:pt>
                <c:pt idx="4">
                  <c:v>Water assets</c:v>
                </c:pt>
                <c:pt idx="5">
                  <c:v>New Fire Station on Main Street</c:v>
                </c:pt>
                <c:pt idx="6">
                  <c:v>Bridges &amp; Culverts</c:v>
                </c:pt>
                <c:pt idx="7">
                  <c:v>Residential Building - high density</c:v>
                </c:pt>
                <c:pt idx="8">
                  <c:v>Residential Building - medium density</c:v>
                </c:pt>
                <c:pt idx="9">
                  <c:v>Residential Building - low density</c:v>
                </c:pt>
                <c:pt idx="10">
                  <c:v>Total</c:v>
                </c:pt>
                <c:pt idx="11">
                  <c:v>Roads</c:v>
                </c:pt>
                <c:pt idx="12">
                  <c:v>Non-Residential Building</c:v>
                </c:pt>
                <c:pt idx="13">
                  <c:v>Storm/Sanitary Sewers</c:v>
                </c:pt>
                <c:pt idx="14">
                  <c:v>Vehicles</c:v>
                </c:pt>
                <c:pt idx="15">
                  <c:v>Water assets</c:v>
                </c:pt>
                <c:pt idx="16">
                  <c:v>New Fire Station on Main Street</c:v>
                </c:pt>
                <c:pt idx="17">
                  <c:v>Bridges &amp; Culverts</c:v>
                </c:pt>
                <c:pt idx="18">
                  <c:v>Residential Building - high density</c:v>
                </c:pt>
                <c:pt idx="19">
                  <c:v>Residential Building - medium density</c:v>
                </c:pt>
                <c:pt idx="20">
                  <c:v>Residential Building - low density</c:v>
                </c:pt>
                <c:pt idx="21">
                  <c:v>Total</c:v>
                </c:pt>
              </c:strCache>
            </c:strRef>
          </c:cat>
          <c:val>
            <c:numRef>
              <c:f>[0]!Summary_Chart1_Base</c:f>
              <c:numCache>
                <c:formatCode>0.00</c:formatCode>
                <c:ptCount val="22"/>
                <c:pt idx="0">
                  <c:v>0</c:v>
                </c:pt>
                <c:pt idx="1">
                  <c:v>132.33963525174752</c:v>
                </c:pt>
                <c:pt idx="2">
                  <c:v>259.38892303920096</c:v>
                </c:pt>
                <c:pt idx="3">
                  <c:v>346.01238768400253</c:v>
                </c:pt>
                <c:pt idx="4">
                  <c:v>414.6183847620419</c:v>
                </c:pt>
                <c:pt idx="5">
                  <c:v>469.87344352687143</c:v>
                </c:pt>
                <c:pt idx="6">
                  <c:v>502.11659589489699</c:v>
                </c:pt>
                <c:pt idx="7">
                  <c:v>521.33421467827156</c:v>
                </c:pt>
                <c:pt idx="8">
                  <c:v>534.68208240767922</c:v>
                </c:pt>
                <c:pt idx="9">
                  <c:v>537.32841417834788</c:v>
                </c:pt>
                <c:pt idx="10">
                  <c:v>0</c:v>
                </c:pt>
                <c:pt idx="11">
                  <c:v>0</c:v>
                </c:pt>
                <c:pt idx="12">
                  <c:v>139.08200871595585</c:v>
                </c:pt>
                <c:pt idx="13">
                  <c:v>272.59926024531597</c:v>
                </c:pt>
                <c:pt idx="14">
                  <c:v>363.65578705105662</c:v>
                </c:pt>
                <c:pt idx="15">
                  <c:v>435.7235546238594</c:v>
                </c:pt>
                <c:pt idx="16">
                  <c:v>493.79349374085945</c:v>
                </c:pt>
                <c:pt idx="17">
                  <c:v>528.99419883091127</c:v>
                </c:pt>
                <c:pt idx="18">
                  <c:v>549.17900630579038</c:v>
                </c:pt>
                <c:pt idx="19">
                  <c:v>563.98185487774015</c:v>
                </c:pt>
                <c:pt idx="20">
                  <c:v>566.92006147605605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16-4D0E-9EAA-2FE7463E8808}"/>
            </c:ext>
          </c:extLst>
        </c:ser>
        <c:ser>
          <c:idx val="4"/>
          <c:order val="1"/>
          <c:spPr>
            <a:solidFill>
              <a:schemeClr val="accent2"/>
            </a:solidFill>
          </c:spPr>
          <c:invertIfNegative val="0"/>
          <c:cat>
            <c:strRef>
              <c:f>[0]!Summary_Chart1_Assets</c:f>
              <c:strCache>
                <c:ptCount val="22"/>
                <c:pt idx="0">
                  <c:v>Roads</c:v>
                </c:pt>
                <c:pt idx="1">
                  <c:v>Non-Residential Building</c:v>
                </c:pt>
                <c:pt idx="2">
                  <c:v>Storm/Sanitary Sewers</c:v>
                </c:pt>
                <c:pt idx="3">
                  <c:v>Vehicles</c:v>
                </c:pt>
                <c:pt idx="4">
                  <c:v>Water assets</c:v>
                </c:pt>
                <c:pt idx="5">
                  <c:v>New Fire Station on Main Street</c:v>
                </c:pt>
                <c:pt idx="6">
                  <c:v>Bridges &amp; Culverts</c:v>
                </c:pt>
                <c:pt idx="7">
                  <c:v>Residential Building - high density</c:v>
                </c:pt>
                <c:pt idx="8">
                  <c:v>Residential Building - medium density</c:v>
                </c:pt>
                <c:pt idx="9">
                  <c:v>Residential Building - low density</c:v>
                </c:pt>
                <c:pt idx="10">
                  <c:v>Total</c:v>
                </c:pt>
                <c:pt idx="11">
                  <c:v>Roads</c:v>
                </c:pt>
                <c:pt idx="12">
                  <c:v>Non-Residential Building</c:v>
                </c:pt>
                <c:pt idx="13">
                  <c:v>Storm/Sanitary Sewers</c:v>
                </c:pt>
                <c:pt idx="14">
                  <c:v>Vehicles</c:v>
                </c:pt>
                <c:pt idx="15">
                  <c:v>Water assets</c:v>
                </c:pt>
                <c:pt idx="16">
                  <c:v>New Fire Station on Main Street</c:v>
                </c:pt>
                <c:pt idx="17">
                  <c:v>Bridges &amp; Culverts</c:v>
                </c:pt>
                <c:pt idx="18">
                  <c:v>Residential Building - high density</c:v>
                </c:pt>
                <c:pt idx="19">
                  <c:v>Residential Building - medium density</c:v>
                </c:pt>
                <c:pt idx="20">
                  <c:v>Residential Building - low density</c:v>
                </c:pt>
                <c:pt idx="21">
                  <c:v>Total</c:v>
                </c:pt>
              </c:strCache>
            </c:strRef>
          </c:cat>
          <c:val>
            <c:numRef>
              <c:f>[0]!Summary_Chart1_Value2</c:f>
              <c:numCache>
                <c:formatCode>0.00</c:formatCode>
                <c:ptCount val="22"/>
                <c:pt idx="0">
                  <c:v>132.33963525174752</c:v>
                </c:pt>
                <c:pt idx="1">
                  <c:v>127.04928778745342</c:v>
                </c:pt>
                <c:pt idx="2">
                  <c:v>86.623464644801558</c:v>
                </c:pt>
                <c:pt idx="3">
                  <c:v>68.605997078039351</c:v>
                </c:pt>
                <c:pt idx="4">
                  <c:v>55.255058764829506</c:v>
                </c:pt>
                <c:pt idx="5">
                  <c:v>32.243152368025548</c:v>
                </c:pt>
                <c:pt idx="6">
                  <c:v>19.217618783374533</c:v>
                </c:pt>
                <c:pt idx="7">
                  <c:v>13.347867729407699</c:v>
                </c:pt>
                <c:pt idx="8">
                  <c:v>2.6463317706686116</c:v>
                </c:pt>
                <c:pt idx="9">
                  <c:v>0.24883094444844525</c:v>
                </c:pt>
                <c:pt idx="10">
                  <c:v>0</c:v>
                </c:pt>
                <c:pt idx="11">
                  <c:v>139.08200871595585</c:v>
                </c:pt>
                <c:pt idx="12">
                  <c:v>133.51725152936012</c:v>
                </c:pt>
                <c:pt idx="13">
                  <c:v>91.056526805740646</c:v>
                </c:pt>
                <c:pt idx="14">
                  <c:v>72.067767572802794</c:v>
                </c:pt>
                <c:pt idx="15">
                  <c:v>58.069939117000061</c:v>
                </c:pt>
                <c:pt idx="16">
                  <c:v>35.200705090051777</c:v>
                </c:pt>
                <c:pt idx="17">
                  <c:v>20.184807474879154</c:v>
                </c:pt>
                <c:pt idx="18">
                  <c:v>14.802848571949768</c:v>
                </c:pt>
                <c:pt idx="19">
                  <c:v>2.9382065983158849</c:v>
                </c:pt>
                <c:pt idx="20">
                  <c:v>0.28437822222679454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16-4D0E-9EAA-2FE7463E8808}"/>
            </c:ext>
          </c:extLst>
        </c:ser>
        <c:ser>
          <c:idx val="3"/>
          <c:order val="2"/>
          <c:spPr>
            <a:solidFill>
              <a:schemeClr val="accent1"/>
            </a:solidFill>
          </c:spPr>
          <c:invertIfNegative val="0"/>
          <c:cat>
            <c:strRef>
              <c:f>[0]!Summary_Chart1_Assets</c:f>
              <c:strCache>
                <c:ptCount val="22"/>
                <c:pt idx="0">
                  <c:v>Roads</c:v>
                </c:pt>
                <c:pt idx="1">
                  <c:v>Non-Residential Building</c:v>
                </c:pt>
                <c:pt idx="2">
                  <c:v>Storm/Sanitary Sewers</c:v>
                </c:pt>
                <c:pt idx="3">
                  <c:v>Vehicles</c:v>
                </c:pt>
                <c:pt idx="4">
                  <c:v>Water assets</c:v>
                </c:pt>
                <c:pt idx="5">
                  <c:v>New Fire Station on Main Street</c:v>
                </c:pt>
                <c:pt idx="6">
                  <c:v>Bridges &amp; Culverts</c:v>
                </c:pt>
                <c:pt idx="7">
                  <c:v>Residential Building - high density</c:v>
                </c:pt>
                <c:pt idx="8">
                  <c:v>Residential Building - medium density</c:v>
                </c:pt>
                <c:pt idx="9">
                  <c:v>Residential Building - low density</c:v>
                </c:pt>
                <c:pt idx="10">
                  <c:v>Total</c:v>
                </c:pt>
                <c:pt idx="11">
                  <c:v>Roads</c:v>
                </c:pt>
                <c:pt idx="12">
                  <c:v>Non-Residential Building</c:v>
                </c:pt>
                <c:pt idx="13">
                  <c:v>Storm/Sanitary Sewers</c:v>
                </c:pt>
                <c:pt idx="14">
                  <c:v>Vehicles</c:v>
                </c:pt>
                <c:pt idx="15">
                  <c:v>Water assets</c:v>
                </c:pt>
                <c:pt idx="16">
                  <c:v>New Fire Station on Main Street</c:v>
                </c:pt>
                <c:pt idx="17">
                  <c:v>Bridges &amp; Culverts</c:v>
                </c:pt>
                <c:pt idx="18">
                  <c:v>Residential Building - high density</c:v>
                </c:pt>
                <c:pt idx="19">
                  <c:v>Residential Building - medium density</c:v>
                </c:pt>
                <c:pt idx="20">
                  <c:v>Residential Building - low density</c:v>
                </c:pt>
                <c:pt idx="21">
                  <c:v>Total</c:v>
                </c:pt>
              </c:strCache>
            </c:strRef>
          </c:cat>
          <c:val>
            <c:numRef>
              <c:f>[0]!Summary_Chart1_Total</c:f>
              <c:numCache>
                <c:formatCode>0.00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537.57724512279628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567.20443969828284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16-4D0E-9EAA-2FE7463E8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0697727"/>
        <c:axId val="1630698143"/>
      </c:barChart>
      <c:catAx>
        <c:axId val="16306977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2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0698143"/>
        <c:crosses val="autoZero"/>
        <c:auto val="1"/>
        <c:lblAlgn val="ctr"/>
        <c:lblOffset val="100"/>
        <c:noMultiLvlLbl val="0"/>
      </c:catAx>
      <c:valAx>
        <c:axId val="1630698143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0697727"/>
        <c:crosses val="autoZero"/>
        <c:crossBetween val="between"/>
      </c:valAx>
      <c:spPr>
        <a:ln>
          <a:solidFill>
            <a:sysClr val="windowText" lastClr="000000"/>
          </a:solidFill>
        </a:ln>
      </c:spPr>
    </c:plotArea>
    <c:plotVisOnly val="0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9997178946292768E-2"/>
          <c:y val="5.9637934180233464E-2"/>
          <c:w val="0.90677156830315764"/>
          <c:h val="0.55976421245763064"/>
        </c:manualLayout>
      </c:layout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[0]!Summary_Chart2_Assets</c:f>
              <c:strCache>
                <c:ptCount val="40"/>
                <c:pt idx="0">
                  <c:v>Plant and equipment</c:v>
                </c:pt>
                <c:pt idx="1">
                  <c:v>Vehicles</c:v>
                </c:pt>
                <c:pt idx="2">
                  <c:v>Structural steel</c:v>
                </c:pt>
                <c:pt idx="3">
                  <c:v>Electrical wire</c:v>
                </c:pt>
                <c:pt idx="4">
                  <c:v>Diesel</c:v>
                </c:pt>
                <c:pt idx="5">
                  <c:v>Electrical equipment</c:v>
                </c:pt>
                <c:pt idx="6">
                  <c:v>Water equipment</c:v>
                </c:pt>
                <c:pt idx="7">
                  <c:v>Bitumen</c:v>
                </c:pt>
                <c:pt idx="8">
                  <c:v>Interior</c:v>
                </c:pt>
                <c:pt idx="9">
                  <c:v>Firetrucks</c:v>
                </c:pt>
                <c:pt idx="10">
                  <c:v>Glass</c:v>
                </c:pt>
                <c:pt idx="11">
                  <c:v>Road equipment</c:v>
                </c:pt>
                <c:pt idx="12">
                  <c:v>Reinforcing bar</c:v>
                </c:pt>
                <c:pt idx="13">
                  <c:v>Polyethylene pipes</c:v>
                </c:pt>
                <c:pt idx="14">
                  <c:v>Quarry Material</c:v>
                </c:pt>
                <c:pt idx="15">
                  <c:v>Concrete</c:v>
                </c:pt>
                <c:pt idx="16">
                  <c:v>Wood</c:v>
                </c:pt>
                <c:pt idx="17">
                  <c:v>Masonry</c:v>
                </c:pt>
                <c:pt idx="18">
                  <c:v>Roofing</c:v>
                </c:pt>
                <c:pt idx="19">
                  <c:v>Total</c:v>
                </c:pt>
                <c:pt idx="20">
                  <c:v>Plant and equipment</c:v>
                </c:pt>
                <c:pt idx="21">
                  <c:v>Vehicles</c:v>
                </c:pt>
                <c:pt idx="22">
                  <c:v>Structural steel</c:v>
                </c:pt>
                <c:pt idx="23">
                  <c:v>Electrical wire</c:v>
                </c:pt>
                <c:pt idx="24">
                  <c:v>Diesel</c:v>
                </c:pt>
                <c:pt idx="25">
                  <c:v>Electrical equipment</c:v>
                </c:pt>
                <c:pt idx="26">
                  <c:v>Water equipment</c:v>
                </c:pt>
                <c:pt idx="27">
                  <c:v>Bitumen</c:v>
                </c:pt>
                <c:pt idx="28">
                  <c:v>Interior</c:v>
                </c:pt>
                <c:pt idx="29">
                  <c:v>Firetrucks</c:v>
                </c:pt>
                <c:pt idx="30">
                  <c:v>Glass</c:v>
                </c:pt>
                <c:pt idx="31">
                  <c:v>Road equipment</c:v>
                </c:pt>
                <c:pt idx="32">
                  <c:v>Reinforcing bar</c:v>
                </c:pt>
                <c:pt idx="33">
                  <c:v>Polyethylene pipes</c:v>
                </c:pt>
                <c:pt idx="34">
                  <c:v>Quarry Material</c:v>
                </c:pt>
                <c:pt idx="35">
                  <c:v>Concrete</c:v>
                </c:pt>
                <c:pt idx="36">
                  <c:v>Wood</c:v>
                </c:pt>
                <c:pt idx="37">
                  <c:v>Masonry</c:v>
                </c:pt>
                <c:pt idx="38">
                  <c:v>Roofing</c:v>
                </c:pt>
                <c:pt idx="39">
                  <c:v>Total</c:v>
                </c:pt>
              </c:strCache>
            </c:strRef>
          </c:cat>
          <c:val>
            <c:numRef>
              <c:f>[0]!Summary_Chart2_Base</c:f>
              <c:numCache>
                <c:formatCode>0.00</c:formatCode>
                <c:ptCount val="40"/>
                <c:pt idx="0">
                  <c:v>0</c:v>
                </c:pt>
                <c:pt idx="1">
                  <c:v>137.45186617761667</c:v>
                </c:pt>
                <c:pt idx="2">
                  <c:v>206.057863255656</c:v>
                </c:pt>
                <c:pt idx="3">
                  <c:v>267.73704307000884</c:v>
                </c:pt>
                <c:pt idx="4">
                  <c:v>322.0288203241048</c:v>
                </c:pt>
                <c:pt idx="5">
                  <c:v>361.0961083438707</c:v>
                </c:pt>
                <c:pt idx="6">
                  <c:v>398.37308132550851</c:v>
                </c:pt>
                <c:pt idx="7">
                  <c:v>433.7186649022957</c:v>
                </c:pt>
                <c:pt idx="8">
                  <c:v>463.02423965201649</c:v>
                </c:pt>
                <c:pt idx="9">
                  <c:v>479.4541933089746</c:v>
                </c:pt>
                <c:pt idx="10">
                  <c:v>490.49419330897462</c:v>
                </c:pt>
                <c:pt idx="11">
                  <c:v>499.6703839233088</c:v>
                </c:pt>
                <c:pt idx="12">
                  <c:v>508.72489840168743</c:v>
                </c:pt>
                <c:pt idx="13">
                  <c:v>517.77460574890404</c:v>
                </c:pt>
                <c:pt idx="14">
                  <c:v>524.83344388262242</c:v>
                </c:pt>
                <c:pt idx="15">
                  <c:v>530.10640289763228</c:v>
                </c:pt>
                <c:pt idx="16">
                  <c:v>533.38842830057081</c:v>
                </c:pt>
                <c:pt idx="17">
                  <c:v>535.79901426942979</c:v>
                </c:pt>
                <c:pt idx="18">
                  <c:v>537.56258790382151</c:v>
                </c:pt>
                <c:pt idx="19">
                  <c:v>0</c:v>
                </c:pt>
                <c:pt idx="20">
                  <c:v>0</c:v>
                </c:pt>
                <c:pt idx="21">
                  <c:v>143.01067413772742</c:v>
                </c:pt>
                <c:pt idx="22">
                  <c:v>215.07844171053023</c:v>
                </c:pt>
                <c:pt idx="23">
                  <c:v>281.403129577855</c:v>
                </c:pt>
                <c:pt idx="24">
                  <c:v>338.57306304211886</c:v>
                </c:pt>
                <c:pt idx="25">
                  <c:v>379.48190764240508</c:v>
                </c:pt>
                <c:pt idx="26">
                  <c:v>417.28232177129058</c:v>
                </c:pt>
                <c:pt idx="27">
                  <c:v>454.43214527376665</c:v>
                </c:pt>
                <c:pt idx="28">
                  <c:v>485.230765770289</c:v>
                </c:pt>
                <c:pt idx="29">
                  <c:v>502.67659566372225</c:v>
                </c:pt>
                <c:pt idx="30">
                  <c:v>517.55659566372231</c:v>
                </c:pt>
                <c:pt idx="31">
                  <c:v>527.26989194208215</c:v>
                </c:pt>
                <c:pt idx="32">
                  <c:v>536.81983531929052</c:v>
                </c:pt>
                <c:pt idx="33">
                  <c:v>546.33565466702419</c:v>
                </c:pt>
                <c:pt idx="34">
                  <c:v>553.75894655856996</c:v>
                </c:pt>
                <c:pt idx="35">
                  <c:v>559.30054964890178</c:v>
                </c:pt>
                <c:pt idx="36">
                  <c:v>562.75068857166968</c:v>
                </c:pt>
                <c:pt idx="37">
                  <c:v>565.32715673750715</c:v>
                </c:pt>
                <c:pt idx="38">
                  <c:v>567.18889530593015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FB2-A32D-3D4E125D9889}"/>
            </c:ext>
          </c:extLst>
        </c:ser>
        <c:ser>
          <c:idx val="4"/>
          <c:order val="1"/>
          <c:spPr>
            <a:solidFill>
              <a:schemeClr val="accent2"/>
            </a:solidFill>
          </c:spPr>
          <c:invertIfNegative val="0"/>
          <c:cat>
            <c:strRef>
              <c:f>[0]!Summary_Chart2_Assets</c:f>
              <c:strCache>
                <c:ptCount val="40"/>
                <c:pt idx="0">
                  <c:v>Plant and equipment</c:v>
                </c:pt>
                <c:pt idx="1">
                  <c:v>Vehicles</c:v>
                </c:pt>
                <c:pt idx="2">
                  <c:v>Structural steel</c:v>
                </c:pt>
                <c:pt idx="3">
                  <c:v>Electrical wire</c:v>
                </c:pt>
                <c:pt idx="4">
                  <c:v>Diesel</c:v>
                </c:pt>
                <c:pt idx="5">
                  <c:v>Electrical equipment</c:v>
                </c:pt>
                <c:pt idx="6">
                  <c:v>Water equipment</c:v>
                </c:pt>
                <c:pt idx="7">
                  <c:v>Bitumen</c:v>
                </c:pt>
                <c:pt idx="8">
                  <c:v>Interior</c:v>
                </c:pt>
                <c:pt idx="9">
                  <c:v>Firetrucks</c:v>
                </c:pt>
                <c:pt idx="10">
                  <c:v>Glass</c:v>
                </c:pt>
                <c:pt idx="11">
                  <c:v>Road equipment</c:v>
                </c:pt>
                <c:pt idx="12">
                  <c:v>Reinforcing bar</c:v>
                </c:pt>
                <c:pt idx="13">
                  <c:v>Polyethylene pipes</c:v>
                </c:pt>
                <c:pt idx="14">
                  <c:v>Quarry Material</c:v>
                </c:pt>
                <c:pt idx="15">
                  <c:v>Concrete</c:v>
                </c:pt>
                <c:pt idx="16">
                  <c:v>Wood</c:v>
                </c:pt>
                <c:pt idx="17">
                  <c:v>Masonry</c:v>
                </c:pt>
                <c:pt idx="18">
                  <c:v>Roofing</c:v>
                </c:pt>
                <c:pt idx="19">
                  <c:v>Total</c:v>
                </c:pt>
                <c:pt idx="20">
                  <c:v>Plant and equipment</c:v>
                </c:pt>
                <c:pt idx="21">
                  <c:v>Vehicles</c:v>
                </c:pt>
                <c:pt idx="22">
                  <c:v>Structural steel</c:v>
                </c:pt>
                <c:pt idx="23">
                  <c:v>Electrical wire</c:v>
                </c:pt>
                <c:pt idx="24">
                  <c:v>Diesel</c:v>
                </c:pt>
                <c:pt idx="25">
                  <c:v>Electrical equipment</c:v>
                </c:pt>
                <c:pt idx="26">
                  <c:v>Water equipment</c:v>
                </c:pt>
                <c:pt idx="27">
                  <c:v>Bitumen</c:v>
                </c:pt>
                <c:pt idx="28">
                  <c:v>Interior</c:v>
                </c:pt>
                <c:pt idx="29">
                  <c:v>Firetrucks</c:v>
                </c:pt>
                <c:pt idx="30">
                  <c:v>Glass</c:v>
                </c:pt>
                <c:pt idx="31">
                  <c:v>Road equipment</c:v>
                </c:pt>
                <c:pt idx="32">
                  <c:v>Reinforcing bar</c:v>
                </c:pt>
                <c:pt idx="33">
                  <c:v>Polyethylene pipes</c:v>
                </c:pt>
                <c:pt idx="34">
                  <c:v>Quarry Material</c:v>
                </c:pt>
                <c:pt idx="35">
                  <c:v>Concrete</c:v>
                </c:pt>
                <c:pt idx="36">
                  <c:v>Wood</c:v>
                </c:pt>
                <c:pt idx="37">
                  <c:v>Masonry</c:v>
                </c:pt>
                <c:pt idx="38">
                  <c:v>Roofing</c:v>
                </c:pt>
                <c:pt idx="39">
                  <c:v>Total</c:v>
                </c:pt>
              </c:strCache>
            </c:strRef>
          </c:cat>
          <c:val>
            <c:numRef>
              <c:f>[0]!Summary_Chart2_Value2</c:f>
              <c:numCache>
                <c:formatCode>0.00</c:formatCode>
                <c:ptCount val="40"/>
                <c:pt idx="0">
                  <c:v>137.45186617761667</c:v>
                </c:pt>
                <c:pt idx="1">
                  <c:v>68.605997078039351</c:v>
                </c:pt>
                <c:pt idx="2">
                  <c:v>61.679179814352814</c:v>
                </c:pt>
                <c:pt idx="3">
                  <c:v>54.291777254095962</c:v>
                </c:pt>
                <c:pt idx="4">
                  <c:v>39.067288019765911</c:v>
                </c:pt>
                <c:pt idx="5">
                  <c:v>37.276972981637812</c:v>
                </c:pt>
                <c:pt idx="6">
                  <c:v>35.34558357678717</c:v>
                </c:pt>
                <c:pt idx="7">
                  <c:v>29.305574749720805</c:v>
                </c:pt>
                <c:pt idx="8">
                  <c:v>16.429953656958126</c:v>
                </c:pt>
                <c:pt idx="9">
                  <c:v>11.040000000000001</c:v>
                </c:pt>
                <c:pt idx="10">
                  <c:v>9.1761906143341889</c:v>
                </c:pt>
                <c:pt idx="11">
                  <c:v>9.0545144783786036</c:v>
                </c:pt>
                <c:pt idx="12">
                  <c:v>9.0497073472165734</c:v>
                </c:pt>
                <c:pt idx="13">
                  <c:v>7.0588381337183499</c:v>
                </c:pt>
                <c:pt idx="14">
                  <c:v>5.2729590150098256</c:v>
                </c:pt>
                <c:pt idx="15">
                  <c:v>3.2820254029385283</c:v>
                </c:pt>
                <c:pt idx="16">
                  <c:v>2.4105859688589253</c:v>
                </c:pt>
                <c:pt idx="17">
                  <c:v>1.7635736343917616</c:v>
                </c:pt>
                <c:pt idx="18">
                  <c:v>1.4657218974820098E-2</c:v>
                </c:pt>
                <c:pt idx="19">
                  <c:v>0</c:v>
                </c:pt>
                <c:pt idx="20">
                  <c:v>143.01067413772742</c:v>
                </c:pt>
                <c:pt idx="21">
                  <c:v>72.067767572802794</c:v>
                </c:pt>
                <c:pt idx="22">
                  <c:v>66.324687867324741</c:v>
                </c:pt>
                <c:pt idx="23">
                  <c:v>57.169933464263842</c:v>
                </c:pt>
                <c:pt idx="24">
                  <c:v>40.908844600286223</c:v>
                </c:pt>
                <c:pt idx="25">
                  <c:v>37.8004141288855</c:v>
                </c:pt>
                <c:pt idx="26">
                  <c:v>37.149823502476053</c:v>
                </c:pt>
                <c:pt idx="27">
                  <c:v>30.798620496522361</c:v>
                </c:pt>
                <c:pt idx="28">
                  <c:v>17.445829893433256</c:v>
                </c:pt>
                <c:pt idx="29">
                  <c:v>14.880000000000003</c:v>
                </c:pt>
                <c:pt idx="30">
                  <c:v>9.7132962783598433</c:v>
                </c:pt>
                <c:pt idx="31">
                  <c:v>9.5499433772083968</c:v>
                </c:pt>
                <c:pt idx="32">
                  <c:v>9.5158193477337107</c:v>
                </c:pt>
                <c:pt idx="33">
                  <c:v>7.4232918915457802</c:v>
                </c:pt>
                <c:pt idx="34">
                  <c:v>5.5416030903318543</c:v>
                </c:pt>
                <c:pt idx="35">
                  <c:v>3.450138922767942</c:v>
                </c:pt>
                <c:pt idx="36">
                  <c:v>2.5764681658375044</c:v>
                </c:pt>
                <c:pt idx="37">
                  <c:v>1.8617385684229428</c:v>
                </c:pt>
                <c:pt idx="38">
                  <c:v>1.5544392352664489E-2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F2-4FB2-A32D-3D4E125D9889}"/>
            </c:ext>
          </c:extLst>
        </c:ser>
        <c:ser>
          <c:idx val="3"/>
          <c:order val="2"/>
          <c:spPr>
            <a:solidFill>
              <a:schemeClr val="accent1"/>
            </a:solidFill>
          </c:spPr>
          <c:invertIfNegative val="0"/>
          <c:cat>
            <c:strRef>
              <c:f>[0]!Summary_Chart2_Assets</c:f>
              <c:strCache>
                <c:ptCount val="40"/>
                <c:pt idx="0">
                  <c:v>Plant and equipment</c:v>
                </c:pt>
                <c:pt idx="1">
                  <c:v>Vehicles</c:v>
                </c:pt>
                <c:pt idx="2">
                  <c:v>Structural steel</c:v>
                </c:pt>
                <c:pt idx="3">
                  <c:v>Electrical wire</c:v>
                </c:pt>
                <c:pt idx="4">
                  <c:v>Diesel</c:v>
                </c:pt>
                <c:pt idx="5">
                  <c:v>Electrical equipment</c:v>
                </c:pt>
                <c:pt idx="6">
                  <c:v>Water equipment</c:v>
                </c:pt>
                <c:pt idx="7">
                  <c:v>Bitumen</c:v>
                </c:pt>
                <c:pt idx="8">
                  <c:v>Interior</c:v>
                </c:pt>
                <c:pt idx="9">
                  <c:v>Firetrucks</c:v>
                </c:pt>
                <c:pt idx="10">
                  <c:v>Glass</c:v>
                </c:pt>
                <c:pt idx="11">
                  <c:v>Road equipment</c:v>
                </c:pt>
                <c:pt idx="12">
                  <c:v>Reinforcing bar</c:v>
                </c:pt>
                <c:pt idx="13">
                  <c:v>Polyethylene pipes</c:v>
                </c:pt>
                <c:pt idx="14">
                  <c:v>Quarry Material</c:v>
                </c:pt>
                <c:pt idx="15">
                  <c:v>Concrete</c:v>
                </c:pt>
                <c:pt idx="16">
                  <c:v>Wood</c:v>
                </c:pt>
                <c:pt idx="17">
                  <c:v>Masonry</c:v>
                </c:pt>
                <c:pt idx="18">
                  <c:v>Roofing</c:v>
                </c:pt>
                <c:pt idx="19">
                  <c:v>Total</c:v>
                </c:pt>
                <c:pt idx="20">
                  <c:v>Plant and equipment</c:v>
                </c:pt>
                <c:pt idx="21">
                  <c:v>Vehicles</c:v>
                </c:pt>
                <c:pt idx="22">
                  <c:v>Structural steel</c:v>
                </c:pt>
                <c:pt idx="23">
                  <c:v>Electrical wire</c:v>
                </c:pt>
                <c:pt idx="24">
                  <c:v>Diesel</c:v>
                </c:pt>
                <c:pt idx="25">
                  <c:v>Electrical equipment</c:v>
                </c:pt>
                <c:pt idx="26">
                  <c:v>Water equipment</c:v>
                </c:pt>
                <c:pt idx="27">
                  <c:v>Bitumen</c:v>
                </c:pt>
                <c:pt idx="28">
                  <c:v>Interior</c:v>
                </c:pt>
                <c:pt idx="29">
                  <c:v>Firetrucks</c:v>
                </c:pt>
                <c:pt idx="30">
                  <c:v>Glass</c:v>
                </c:pt>
                <c:pt idx="31">
                  <c:v>Road equipment</c:v>
                </c:pt>
                <c:pt idx="32">
                  <c:v>Reinforcing bar</c:v>
                </c:pt>
                <c:pt idx="33">
                  <c:v>Polyethylene pipes</c:v>
                </c:pt>
                <c:pt idx="34">
                  <c:v>Quarry Material</c:v>
                </c:pt>
                <c:pt idx="35">
                  <c:v>Concrete</c:v>
                </c:pt>
                <c:pt idx="36">
                  <c:v>Wood</c:v>
                </c:pt>
                <c:pt idx="37">
                  <c:v>Masonry</c:v>
                </c:pt>
                <c:pt idx="38">
                  <c:v>Roofing</c:v>
                </c:pt>
                <c:pt idx="39">
                  <c:v>Total</c:v>
                </c:pt>
              </c:strCache>
            </c:strRef>
          </c:cat>
          <c:val>
            <c:numRef>
              <c:f>[0]!Summary_Chart2_Total</c:f>
              <c:numCache>
                <c:formatCode>0.00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537.57724512279617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 formatCode="General">
                  <c:v>0</c:v>
                </c:pt>
                <c:pt idx="39" formatCode="General">
                  <c:v>567.20443969828284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F2-4FB2-A32D-3D4E125D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0697727"/>
        <c:axId val="1630698143"/>
      </c:barChart>
      <c:catAx>
        <c:axId val="16306977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2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0698143"/>
        <c:crosses val="autoZero"/>
        <c:auto val="1"/>
        <c:lblAlgn val="ctr"/>
        <c:lblOffset val="100"/>
        <c:noMultiLvlLbl val="0"/>
      </c:catAx>
      <c:valAx>
        <c:axId val="1630698143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0697727"/>
        <c:crosses val="autoZero"/>
        <c:crossBetween val="between"/>
      </c:valAx>
      <c:spPr>
        <a:ln>
          <a:solidFill>
            <a:sysClr val="windowText" lastClr="000000"/>
          </a:solidFill>
        </a:ln>
      </c:spPr>
    </c:plotArea>
    <c:plotVisOnly val="0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'Detailed Breakdown'!$C$7</c:f>
          <c:strCache>
            <c:ptCount val="1"/>
            <c:pt idx="0">
              <c:v>Machinery &amp; Equipment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4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'Detailed Breakdown'!$J$10:$K$10</c:f>
              <c:strCache>
                <c:ptCount val="2"/>
                <c:pt idx="0">
                  <c:v> FY26 </c:v>
                </c:pt>
                <c:pt idx="1">
                  <c:v> FY27 </c:v>
                </c:pt>
              </c:strCache>
            </c:strRef>
          </c:cat>
          <c:val>
            <c:numRef>
              <c:f>'Detailed Breakdown'!$J$11:$K$11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5D28-451C-BB78-CE5736E3DD24}"/>
            </c:ext>
          </c:extLst>
        </c:ser>
        <c:ser>
          <c:idx val="3"/>
          <c:order val="1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'Detailed Breakdown'!$J$10:$K$10</c:f>
              <c:strCache>
                <c:ptCount val="2"/>
                <c:pt idx="0">
                  <c:v> FY26 </c:v>
                </c:pt>
                <c:pt idx="1">
                  <c:v> FY27 </c:v>
                </c:pt>
              </c:strCache>
            </c:strRef>
          </c:cat>
          <c:val>
            <c:numRef>
              <c:f>'Detailed Breakdown'!$J$12:$K$12</c:f>
              <c:numCache>
                <c:formatCode>0.0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5D28-451C-BB78-CE5736E3DD24}"/>
            </c:ext>
          </c:extLst>
        </c:ser>
        <c:ser>
          <c:idx val="1"/>
          <c:order val="2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'Detailed Breakdown'!$J$10:$K$10</c:f>
              <c:strCache>
                <c:ptCount val="2"/>
                <c:pt idx="0">
                  <c:v> FY26 </c:v>
                </c:pt>
                <c:pt idx="1">
                  <c:v> FY27 </c:v>
                </c:pt>
              </c:strCache>
            </c:strRef>
          </c:cat>
          <c:val>
            <c:numRef>
              <c:f>'Detailed Breakdown'!$J$13:$K$13</c:f>
              <c:numCache>
                <c:formatCode>0.0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D28-451C-BB78-CE5736E3DD24}"/>
            </c:ext>
          </c:extLst>
        </c:ser>
        <c:ser>
          <c:idx val="5"/>
          <c:order val="3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'Detailed Breakdown'!$J$10:$K$10</c:f>
              <c:strCache>
                <c:ptCount val="2"/>
                <c:pt idx="0">
                  <c:v> FY26 </c:v>
                </c:pt>
                <c:pt idx="1">
                  <c:v> FY27 </c:v>
                </c:pt>
              </c:strCache>
            </c:strRef>
          </c:cat>
          <c:val>
            <c:numRef>
              <c:f>'Detailed Breakdown'!$J$14:$K$14</c:f>
              <c:numCache>
                <c:formatCode>0.0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5D28-451C-BB78-CE5736E3DD24}"/>
            </c:ext>
          </c:extLst>
        </c:ser>
        <c:ser>
          <c:idx val="2"/>
          <c:order val="4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'Detailed Breakdown'!$J$10:$K$10</c:f>
              <c:strCache>
                <c:ptCount val="2"/>
                <c:pt idx="0">
                  <c:v> FY26 </c:v>
                </c:pt>
                <c:pt idx="1">
                  <c:v> FY27 </c:v>
                </c:pt>
              </c:strCache>
            </c:strRef>
          </c:cat>
          <c:val>
            <c:numRef>
              <c:f>'Detailed Breakdown'!$J$15:$K$15</c:f>
              <c:numCache>
                <c:formatCode>0.0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5D28-451C-BB78-CE5736E3DD24}"/>
            </c:ext>
          </c:extLst>
        </c:ser>
        <c:ser>
          <c:idx val="0"/>
          <c:order val="5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Breakdown'!$J$10:$K$10</c:f>
              <c:strCache>
                <c:ptCount val="2"/>
                <c:pt idx="0">
                  <c:v> FY26 </c:v>
                </c:pt>
                <c:pt idx="1">
                  <c:v> FY27 </c:v>
                </c:pt>
              </c:strCache>
            </c:strRef>
          </c:cat>
          <c:val>
            <c:numRef>
              <c:f>'Detailed Breakdown'!$J$16:$K$16</c:f>
              <c:numCache>
                <c:formatCode>0.0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D28-451C-BB78-CE5736E3DD24}"/>
            </c:ext>
          </c:extLst>
        </c:ser>
        <c:ser>
          <c:idx val="6"/>
          <c:order val="6"/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'Detailed Breakdown'!$J$10:$K$10</c:f>
              <c:strCache>
                <c:ptCount val="2"/>
                <c:pt idx="0">
                  <c:v> FY26 </c:v>
                </c:pt>
                <c:pt idx="1">
                  <c:v> FY27 </c:v>
                </c:pt>
              </c:strCache>
            </c:strRef>
          </c:cat>
          <c:val>
            <c:numRef>
              <c:f>'Detailed Breakdown'!$J$17:$K$17</c:f>
              <c:numCache>
                <c:formatCode>0.0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FE1-49D2-8F4C-959BFD6CE57C}"/>
            </c:ext>
          </c:extLst>
        </c:ser>
        <c:ser>
          <c:idx val="7"/>
          <c:order val="7"/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'Detailed Breakdown'!$J$10:$K$10</c:f>
              <c:strCache>
                <c:ptCount val="2"/>
                <c:pt idx="0">
                  <c:v> FY26 </c:v>
                </c:pt>
                <c:pt idx="1">
                  <c:v> FY27 </c:v>
                </c:pt>
              </c:strCache>
            </c:strRef>
          </c:cat>
          <c:val>
            <c:numRef>
              <c:f>'Detailed Breakdown'!$J$18:$K$18</c:f>
              <c:numCache>
                <c:formatCode>0.0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FE1-49D2-8F4C-959BFD6CE57C}"/>
            </c:ext>
          </c:extLst>
        </c:ser>
        <c:ser>
          <c:idx val="8"/>
          <c:order val="8"/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'Detailed Breakdown'!$J$10:$K$10</c:f>
              <c:strCache>
                <c:ptCount val="2"/>
                <c:pt idx="0">
                  <c:v> FY26 </c:v>
                </c:pt>
                <c:pt idx="1">
                  <c:v> FY27 </c:v>
                </c:pt>
              </c:strCache>
            </c:strRef>
          </c:cat>
          <c:val>
            <c:numRef>
              <c:f>'Detailed Breakdown'!$J$19:$K$19</c:f>
              <c:numCache>
                <c:formatCode>0.0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FE1-49D2-8F4C-959BFD6CE57C}"/>
            </c:ext>
          </c:extLst>
        </c:ser>
        <c:ser>
          <c:idx val="9"/>
          <c:order val="9"/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'Detailed Breakdown'!$J$10:$K$10</c:f>
              <c:strCache>
                <c:ptCount val="2"/>
                <c:pt idx="0">
                  <c:v> FY26 </c:v>
                </c:pt>
                <c:pt idx="1">
                  <c:v> FY27 </c:v>
                </c:pt>
              </c:strCache>
            </c:strRef>
          </c:cat>
          <c:val>
            <c:numRef>
              <c:f>'Detailed Breakdown'!$J$20:$K$20</c:f>
              <c:numCache>
                <c:formatCode>0.0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FFE1-49D2-8F4C-959BFD6CE57C}"/>
            </c:ext>
          </c:extLst>
        </c:ser>
        <c:ser>
          <c:idx val="10"/>
          <c:order val="10"/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'Detailed Breakdown'!$J$10:$K$10</c:f>
              <c:strCache>
                <c:ptCount val="2"/>
                <c:pt idx="0">
                  <c:v> FY26 </c:v>
                </c:pt>
                <c:pt idx="1">
                  <c:v> FY27 </c:v>
                </c:pt>
              </c:strCache>
            </c:strRef>
          </c:cat>
          <c:val>
            <c:numRef>
              <c:f>'Detailed Breakdown'!$J$21:$K$21</c:f>
              <c:numCache>
                <c:formatCode>0.0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FFE1-49D2-8F4C-959BFD6CE57C}"/>
            </c:ext>
          </c:extLst>
        </c:ser>
        <c:ser>
          <c:idx val="11"/>
          <c:order val="11"/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'Detailed Breakdown'!$J$10:$K$10</c:f>
              <c:strCache>
                <c:ptCount val="2"/>
                <c:pt idx="0">
                  <c:v> FY26 </c:v>
                </c:pt>
                <c:pt idx="1">
                  <c:v> FY27 </c:v>
                </c:pt>
              </c:strCache>
            </c:strRef>
          </c:cat>
          <c:val>
            <c:numRef>
              <c:f>'Detailed Breakdown'!$J$22:$K$22</c:f>
              <c:numCache>
                <c:formatCode>0.0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FFE1-49D2-8F4C-959BFD6CE57C}"/>
            </c:ext>
          </c:extLst>
        </c:ser>
        <c:ser>
          <c:idx val="12"/>
          <c:order val="12"/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'Detailed Breakdown'!$J$10:$K$10</c:f>
              <c:strCache>
                <c:ptCount val="2"/>
                <c:pt idx="0">
                  <c:v> FY26 </c:v>
                </c:pt>
                <c:pt idx="1">
                  <c:v> FY27 </c:v>
                </c:pt>
              </c:strCache>
            </c:strRef>
          </c:cat>
          <c:val>
            <c:numRef>
              <c:f>'Detailed Breakdown'!$J$23:$K$23</c:f>
              <c:numCache>
                <c:formatCode>0.0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FFE1-49D2-8F4C-959BFD6CE57C}"/>
            </c:ext>
          </c:extLst>
        </c:ser>
        <c:ser>
          <c:idx val="13"/>
          <c:order val="13"/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'Detailed Breakdown'!$J$10:$K$10</c:f>
              <c:strCache>
                <c:ptCount val="2"/>
                <c:pt idx="0">
                  <c:v> FY26 </c:v>
                </c:pt>
                <c:pt idx="1">
                  <c:v> FY27 </c:v>
                </c:pt>
              </c:strCache>
            </c:strRef>
          </c:cat>
          <c:val>
            <c:numRef>
              <c:f>'Detailed Breakdown'!$J$24:$K$24</c:f>
              <c:numCache>
                <c:formatCode>0.0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CF5-46FC-A25C-8EF32DFE5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8938687"/>
        <c:axId val="288950207"/>
      </c:barChart>
      <c:catAx>
        <c:axId val="288938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8950207"/>
        <c:crosses val="autoZero"/>
        <c:auto val="1"/>
        <c:lblAlgn val="ctr"/>
        <c:lblOffset val="100"/>
        <c:noMultiLvlLbl val="0"/>
      </c:catAx>
      <c:valAx>
        <c:axId val="28895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8938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97178946292768E-2"/>
          <c:y val="4.1949609861748838E-2"/>
          <c:w val="0.90677156830315764"/>
          <c:h val="0.57745243809607727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[0]!Summary_Chart1_Assets</c:f>
              <c:strCache>
                <c:ptCount val="22"/>
                <c:pt idx="0">
                  <c:v>Roads</c:v>
                </c:pt>
                <c:pt idx="1">
                  <c:v>Non-Residential Building</c:v>
                </c:pt>
                <c:pt idx="2">
                  <c:v>Storm/Sanitary Sewers</c:v>
                </c:pt>
                <c:pt idx="3">
                  <c:v>Vehicles</c:v>
                </c:pt>
                <c:pt idx="4">
                  <c:v>Water assets</c:v>
                </c:pt>
                <c:pt idx="5">
                  <c:v>New Fire Station on Main Street</c:v>
                </c:pt>
                <c:pt idx="6">
                  <c:v>Bridges &amp; Culverts</c:v>
                </c:pt>
                <c:pt idx="7">
                  <c:v>Residential Building - high density</c:v>
                </c:pt>
                <c:pt idx="8">
                  <c:v>Residential Building - medium density</c:v>
                </c:pt>
                <c:pt idx="9">
                  <c:v>Residential Building - low density</c:v>
                </c:pt>
                <c:pt idx="10">
                  <c:v>Total</c:v>
                </c:pt>
                <c:pt idx="11">
                  <c:v>Roads</c:v>
                </c:pt>
                <c:pt idx="12">
                  <c:v>Non-Residential Building</c:v>
                </c:pt>
                <c:pt idx="13">
                  <c:v>Storm/Sanitary Sewers</c:v>
                </c:pt>
                <c:pt idx="14">
                  <c:v>Vehicles</c:v>
                </c:pt>
                <c:pt idx="15">
                  <c:v>Water assets</c:v>
                </c:pt>
                <c:pt idx="16">
                  <c:v>New Fire Station on Main Street</c:v>
                </c:pt>
                <c:pt idx="17">
                  <c:v>Bridges &amp; Culverts</c:v>
                </c:pt>
                <c:pt idx="18">
                  <c:v>Residential Building - high density</c:v>
                </c:pt>
                <c:pt idx="19">
                  <c:v>Residential Building - medium density</c:v>
                </c:pt>
                <c:pt idx="20">
                  <c:v>Residential Building - low density</c:v>
                </c:pt>
                <c:pt idx="21">
                  <c:v>Total</c:v>
                </c:pt>
              </c:strCache>
            </c:strRef>
          </c:cat>
          <c:val>
            <c:numRef>
              <c:f>[0]!Summary_Chart1_Base</c:f>
              <c:numCache>
                <c:formatCode>0.00</c:formatCode>
                <c:ptCount val="22"/>
                <c:pt idx="0">
                  <c:v>0</c:v>
                </c:pt>
                <c:pt idx="1">
                  <c:v>132.33963525174752</c:v>
                </c:pt>
                <c:pt idx="2">
                  <c:v>259.38892303920096</c:v>
                </c:pt>
                <c:pt idx="3">
                  <c:v>346.01238768400253</c:v>
                </c:pt>
                <c:pt idx="4">
                  <c:v>414.6183847620419</c:v>
                </c:pt>
                <c:pt idx="5">
                  <c:v>469.87344352687143</c:v>
                </c:pt>
                <c:pt idx="6">
                  <c:v>502.11659589489699</c:v>
                </c:pt>
                <c:pt idx="7">
                  <c:v>521.33421467827156</c:v>
                </c:pt>
                <c:pt idx="8">
                  <c:v>534.68208240767922</c:v>
                </c:pt>
                <c:pt idx="9">
                  <c:v>537.32841417834788</c:v>
                </c:pt>
                <c:pt idx="10">
                  <c:v>0</c:v>
                </c:pt>
                <c:pt idx="11">
                  <c:v>0</c:v>
                </c:pt>
                <c:pt idx="12">
                  <c:v>139.08200871595585</c:v>
                </c:pt>
                <c:pt idx="13">
                  <c:v>272.59926024531597</c:v>
                </c:pt>
                <c:pt idx="14">
                  <c:v>363.65578705105662</c:v>
                </c:pt>
                <c:pt idx="15">
                  <c:v>435.7235546238594</c:v>
                </c:pt>
                <c:pt idx="16">
                  <c:v>493.79349374085945</c:v>
                </c:pt>
                <c:pt idx="17">
                  <c:v>528.99419883091127</c:v>
                </c:pt>
                <c:pt idx="18">
                  <c:v>549.17900630579038</c:v>
                </c:pt>
                <c:pt idx="19">
                  <c:v>563.98185487774015</c:v>
                </c:pt>
                <c:pt idx="20">
                  <c:v>566.92006147605605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9E3-40C5-B6DD-7B4D618017BD}"/>
            </c:ext>
          </c:extLst>
        </c:ser>
        <c:ser>
          <c:idx val="4"/>
          <c:order val="1"/>
          <c:invertIfNegative val="0"/>
          <c:cat>
            <c:strRef>
              <c:f>[0]!Summary_Chart1_Assets</c:f>
              <c:strCache>
                <c:ptCount val="22"/>
                <c:pt idx="0">
                  <c:v>Roads</c:v>
                </c:pt>
                <c:pt idx="1">
                  <c:v>Non-Residential Building</c:v>
                </c:pt>
                <c:pt idx="2">
                  <c:v>Storm/Sanitary Sewers</c:v>
                </c:pt>
                <c:pt idx="3">
                  <c:v>Vehicles</c:v>
                </c:pt>
                <c:pt idx="4">
                  <c:v>Water assets</c:v>
                </c:pt>
                <c:pt idx="5">
                  <c:v>New Fire Station on Main Street</c:v>
                </c:pt>
                <c:pt idx="6">
                  <c:v>Bridges &amp; Culverts</c:v>
                </c:pt>
                <c:pt idx="7">
                  <c:v>Residential Building - high density</c:v>
                </c:pt>
                <c:pt idx="8">
                  <c:v>Residential Building - medium density</c:v>
                </c:pt>
                <c:pt idx="9">
                  <c:v>Residential Building - low density</c:v>
                </c:pt>
                <c:pt idx="10">
                  <c:v>Total</c:v>
                </c:pt>
                <c:pt idx="11">
                  <c:v>Roads</c:v>
                </c:pt>
                <c:pt idx="12">
                  <c:v>Non-Residential Building</c:v>
                </c:pt>
                <c:pt idx="13">
                  <c:v>Storm/Sanitary Sewers</c:v>
                </c:pt>
                <c:pt idx="14">
                  <c:v>Vehicles</c:v>
                </c:pt>
                <c:pt idx="15">
                  <c:v>Water assets</c:v>
                </c:pt>
                <c:pt idx="16">
                  <c:v>New Fire Station on Main Street</c:v>
                </c:pt>
                <c:pt idx="17">
                  <c:v>Bridges &amp; Culverts</c:v>
                </c:pt>
                <c:pt idx="18">
                  <c:v>Residential Building - high density</c:v>
                </c:pt>
                <c:pt idx="19">
                  <c:v>Residential Building - medium density</c:v>
                </c:pt>
                <c:pt idx="20">
                  <c:v>Residential Building - low density</c:v>
                </c:pt>
                <c:pt idx="21">
                  <c:v>Total</c:v>
                </c:pt>
              </c:strCache>
            </c:strRef>
          </c:cat>
          <c:val>
            <c:numRef>
              <c:f>[0]!Summary_Chart1_Value2</c:f>
              <c:numCache>
                <c:formatCode>0.00</c:formatCode>
                <c:ptCount val="22"/>
                <c:pt idx="0">
                  <c:v>132.33963525174752</c:v>
                </c:pt>
                <c:pt idx="1">
                  <c:v>127.04928778745342</c:v>
                </c:pt>
                <c:pt idx="2">
                  <c:v>86.623464644801558</c:v>
                </c:pt>
                <c:pt idx="3">
                  <c:v>68.605997078039351</c:v>
                </c:pt>
                <c:pt idx="4">
                  <c:v>55.255058764829506</c:v>
                </c:pt>
                <c:pt idx="5">
                  <c:v>32.243152368025548</c:v>
                </c:pt>
                <c:pt idx="6">
                  <c:v>19.217618783374533</c:v>
                </c:pt>
                <c:pt idx="7">
                  <c:v>13.347867729407699</c:v>
                </c:pt>
                <c:pt idx="8">
                  <c:v>2.6463317706686116</c:v>
                </c:pt>
                <c:pt idx="9">
                  <c:v>0.24883094444844525</c:v>
                </c:pt>
                <c:pt idx="10">
                  <c:v>0</c:v>
                </c:pt>
                <c:pt idx="11">
                  <c:v>139.08200871595585</c:v>
                </c:pt>
                <c:pt idx="12">
                  <c:v>133.51725152936012</c:v>
                </c:pt>
                <c:pt idx="13">
                  <c:v>91.056526805740646</c:v>
                </c:pt>
                <c:pt idx="14">
                  <c:v>72.067767572802794</c:v>
                </c:pt>
                <c:pt idx="15">
                  <c:v>58.069939117000061</c:v>
                </c:pt>
                <c:pt idx="16">
                  <c:v>35.200705090051777</c:v>
                </c:pt>
                <c:pt idx="17">
                  <c:v>20.184807474879154</c:v>
                </c:pt>
                <c:pt idx="18">
                  <c:v>14.802848571949768</c:v>
                </c:pt>
                <c:pt idx="19">
                  <c:v>2.9382065983158849</c:v>
                </c:pt>
                <c:pt idx="20">
                  <c:v>0.28437822222679454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9E3-40C5-B6DD-7B4D618017BD}"/>
            </c:ext>
          </c:extLst>
        </c:ser>
        <c:ser>
          <c:idx val="3"/>
          <c:order val="2"/>
          <c:invertIfNegative val="0"/>
          <c:cat>
            <c:strRef>
              <c:f>[0]!Summary_Chart1_Assets</c:f>
              <c:strCache>
                <c:ptCount val="22"/>
                <c:pt idx="0">
                  <c:v>Roads</c:v>
                </c:pt>
                <c:pt idx="1">
                  <c:v>Non-Residential Building</c:v>
                </c:pt>
                <c:pt idx="2">
                  <c:v>Storm/Sanitary Sewers</c:v>
                </c:pt>
                <c:pt idx="3">
                  <c:v>Vehicles</c:v>
                </c:pt>
                <c:pt idx="4">
                  <c:v>Water assets</c:v>
                </c:pt>
                <c:pt idx="5">
                  <c:v>New Fire Station on Main Street</c:v>
                </c:pt>
                <c:pt idx="6">
                  <c:v>Bridges &amp; Culverts</c:v>
                </c:pt>
                <c:pt idx="7">
                  <c:v>Residential Building - high density</c:v>
                </c:pt>
                <c:pt idx="8">
                  <c:v>Residential Building - medium density</c:v>
                </c:pt>
                <c:pt idx="9">
                  <c:v>Residential Building - low density</c:v>
                </c:pt>
                <c:pt idx="10">
                  <c:v>Total</c:v>
                </c:pt>
                <c:pt idx="11">
                  <c:v>Roads</c:v>
                </c:pt>
                <c:pt idx="12">
                  <c:v>Non-Residential Building</c:v>
                </c:pt>
                <c:pt idx="13">
                  <c:v>Storm/Sanitary Sewers</c:v>
                </c:pt>
                <c:pt idx="14">
                  <c:v>Vehicles</c:v>
                </c:pt>
                <c:pt idx="15">
                  <c:v>Water assets</c:v>
                </c:pt>
                <c:pt idx="16">
                  <c:v>New Fire Station on Main Street</c:v>
                </c:pt>
                <c:pt idx="17">
                  <c:v>Bridges &amp; Culverts</c:v>
                </c:pt>
                <c:pt idx="18">
                  <c:v>Residential Building - high density</c:v>
                </c:pt>
                <c:pt idx="19">
                  <c:v>Residential Building - medium density</c:v>
                </c:pt>
                <c:pt idx="20">
                  <c:v>Residential Building - low density</c:v>
                </c:pt>
                <c:pt idx="21">
                  <c:v>Total</c:v>
                </c:pt>
              </c:strCache>
            </c:strRef>
          </c:cat>
          <c:val>
            <c:numRef>
              <c:f>[0]!Summary_Chart1_Total</c:f>
              <c:numCache>
                <c:formatCode>0.00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537.57724512279628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567.20443969828284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E3-40C5-B6DD-7B4D61801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0697727"/>
        <c:axId val="1630698143"/>
      </c:barChart>
      <c:catAx>
        <c:axId val="16306977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2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0698143"/>
        <c:crosses val="autoZero"/>
        <c:auto val="1"/>
        <c:lblAlgn val="ctr"/>
        <c:lblOffset val="100"/>
        <c:noMultiLvlLbl val="0"/>
      </c:catAx>
      <c:valAx>
        <c:axId val="1630698143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0697727"/>
        <c:crosses val="autoZero"/>
        <c:crossBetween val="between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97178946292768E-2"/>
          <c:y val="4.1949609861748838E-2"/>
          <c:w val="0.90677156830315764"/>
          <c:h val="0.57745243809607727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[0]!Summary_Chart2_Assets</c:f>
              <c:strCache>
                <c:ptCount val="40"/>
                <c:pt idx="0">
                  <c:v>Plant and equipment</c:v>
                </c:pt>
                <c:pt idx="1">
                  <c:v>Vehicles</c:v>
                </c:pt>
                <c:pt idx="2">
                  <c:v>Structural steel</c:v>
                </c:pt>
                <c:pt idx="3">
                  <c:v>Electrical wire</c:v>
                </c:pt>
                <c:pt idx="4">
                  <c:v>Diesel</c:v>
                </c:pt>
                <c:pt idx="5">
                  <c:v>Electrical equipment</c:v>
                </c:pt>
                <c:pt idx="6">
                  <c:v>Water equipment</c:v>
                </c:pt>
                <c:pt idx="7">
                  <c:v>Bitumen</c:v>
                </c:pt>
                <c:pt idx="8">
                  <c:v>Interior</c:v>
                </c:pt>
                <c:pt idx="9">
                  <c:v>Firetrucks</c:v>
                </c:pt>
                <c:pt idx="10">
                  <c:v>Glass</c:v>
                </c:pt>
                <c:pt idx="11">
                  <c:v>Road equipment</c:v>
                </c:pt>
                <c:pt idx="12">
                  <c:v>Reinforcing bar</c:v>
                </c:pt>
                <c:pt idx="13">
                  <c:v>Polyethylene pipes</c:v>
                </c:pt>
                <c:pt idx="14">
                  <c:v>Quarry Material</c:v>
                </c:pt>
                <c:pt idx="15">
                  <c:v>Concrete</c:v>
                </c:pt>
                <c:pt idx="16">
                  <c:v>Wood</c:v>
                </c:pt>
                <c:pt idx="17">
                  <c:v>Masonry</c:v>
                </c:pt>
                <c:pt idx="18">
                  <c:v>Roofing</c:v>
                </c:pt>
                <c:pt idx="19">
                  <c:v>Total</c:v>
                </c:pt>
                <c:pt idx="20">
                  <c:v>Plant and equipment</c:v>
                </c:pt>
                <c:pt idx="21">
                  <c:v>Vehicles</c:v>
                </c:pt>
                <c:pt idx="22">
                  <c:v>Structural steel</c:v>
                </c:pt>
                <c:pt idx="23">
                  <c:v>Electrical wire</c:v>
                </c:pt>
                <c:pt idx="24">
                  <c:v>Diesel</c:v>
                </c:pt>
                <c:pt idx="25">
                  <c:v>Electrical equipment</c:v>
                </c:pt>
                <c:pt idx="26">
                  <c:v>Water equipment</c:v>
                </c:pt>
                <c:pt idx="27">
                  <c:v>Bitumen</c:v>
                </c:pt>
                <c:pt idx="28">
                  <c:v>Interior</c:v>
                </c:pt>
                <c:pt idx="29">
                  <c:v>Firetrucks</c:v>
                </c:pt>
                <c:pt idx="30">
                  <c:v>Glass</c:v>
                </c:pt>
                <c:pt idx="31">
                  <c:v>Road equipment</c:v>
                </c:pt>
                <c:pt idx="32">
                  <c:v>Reinforcing bar</c:v>
                </c:pt>
                <c:pt idx="33">
                  <c:v>Polyethylene pipes</c:v>
                </c:pt>
                <c:pt idx="34">
                  <c:v>Quarry Material</c:v>
                </c:pt>
                <c:pt idx="35">
                  <c:v>Concrete</c:v>
                </c:pt>
                <c:pt idx="36">
                  <c:v>Wood</c:v>
                </c:pt>
                <c:pt idx="37">
                  <c:v>Masonry</c:v>
                </c:pt>
                <c:pt idx="38">
                  <c:v>Roofing</c:v>
                </c:pt>
                <c:pt idx="39">
                  <c:v>Total</c:v>
                </c:pt>
              </c:strCache>
            </c:strRef>
          </c:cat>
          <c:val>
            <c:numRef>
              <c:f>[0]!Summary_Chart2_Base</c:f>
              <c:numCache>
                <c:formatCode>0.00</c:formatCode>
                <c:ptCount val="40"/>
                <c:pt idx="0">
                  <c:v>0</c:v>
                </c:pt>
                <c:pt idx="1">
                  <c:v>137.45186617761667</c:v>
                </c:pt>
                <c:pt idx="2">
                  <c:v>206.057863255656</c:v>
                </c:pt>
                <c:pt idx="3">
                  <c:v>267.73704307000884</c:v>
                </c:pt>
                <c:pt idx="4">
                  <c:v>322.0288203241048</c:v>
                </c:pt>
                <c:pt idx="5">
                  <c:v>361.0961083438707</c:v>
                </c:pt>
                <c:pt idx="6">
                  <c:v>398.37308132550851</c:v>
                </c:pt>
                <c:pt idx="7">
                  <c:v>433.7186649022957</c:v>
                </c:pt>
                <c:pt idx="8">
                  <c:v>463.02423965201649</c:v>
                </c:pt>
                <c:pt idx="9">
                  <c:v>479.4541933089746</c:v>
                </c:pt>
                <c:pt idx="10">
                  <c:v>490.49419330897462</c:v>
                </c:pt>
                <c:pt idx="11">
                  <c:v>499.6703839233088</c:v>
                </c:pt>
                <c:pt idx="12">
                  <c:v>508.72489840168743</c:v>
                </c:pt>
                <c:pt idx="13">
                  <c:v>517.77460574890404</c:v>
                </c:pt>
                <c:pt idx="14">
                  <c:v>524.83344388262242</c:v>
                </c:pt>
                <c:pt idx="15">
                  <c:v>530.10640289763228</c:v>
                </c:pt>
                <c:pt idx="16">
                  <c:v>533.38842830057081</c:v>
                </c:pt>
                <c:pt idx="17">
                  <c:v>535.79901426942979</c:v>
                </c:pt>
                <c:pt idx="18">
                  <c:v>537.56258790382151</c:v>
                </c:pt>
                <c:pt idx="19">
                  <c:v>0</c:v>
                </c:pt>
                <c:pt idx="20">
                  <c:v>0</c:v>
                </c:pt>
                <c:pt idx="21">
                  <c:v>143.01067413772742</c:v>
                </c:pt>
                <c:pt idx="22">
                  <c:v>215.07844171053023</c:v>
                </c:pt>
                <c:pt idx="23">
                  <c:v>281.403129577855</c:v>
                </c:pt>
                <c:pt idx="24">
                  <c:v>338.57306304211886</c:v>
                </c:pt>
                <c:pt idx="25">
                  <c:v>379.48190764240508</c:v>
                </c:pt>
                <c:pt idx="26">
                  <c:v>417.28232177129058</c:v>
                </c:pt>
                <c:pt idx="27">
                  <c:v>454.43214527376665</c:v>
                </c:pt>
                <c:pt idx="28">
                  <c:v>485.230765770289</c:v>
                </c:pt>
                <c:pt idx="29">
                  <c:v>502.67659566372225</c:v>
                </c:pt>
                <c:pt idx="30">
                  <c:v>517.55659566372231</c:v>
                </c:pt>
                <c:pt idx="31">
                  <c:v>527.26989194208215</c:v>
                </c:pt>
                <c:pt idx="32">
                  <c:v>536.81983531929052</c:v>
                </c:pt>
                <c:pt idx="33">
                  <c:v>546.33565466702419</c:v>
                </c:pt>
                <c:pt idx="34">
                  <c:v>553.75894655856996</c:v>
                </c:pt>
                <c:pt idx="35">
                  <c:v>559.30054964890178</c:v>
                </c:pt>
                <c:pt idx="36">
                  <c:v>562.75068857166968</c:v>
                </c:pt>
                <c:pt idx="37">
                  <c:v>565.32715673750715</c:v>
                </c:pt>
                <c:pt idx="38">
                  <c:v>567.18889530593015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80-48B6-AE7C-9604B8A4BAC6}"/>
            </c:ext>
          </c:extLst>
        </c:ser>
        <c:ser>
          <c:idx val="4"/>
          <c:order val="1"/>
          <c:invertIfNegative val="0"/>
          <c:cat>
            <c:strRef>
              <c:f>[0]!Summary_Chart2_Assets</c:f>
              <c:strCache>
                <c:ptCount val="40"/>
                <c:pt idx="0">
                  <c:v>Plant and equipment</c:v>
                </c:pt>
                <c:pt idx="1">
                  <c:v>Vehicles</c:v>
                </c:pt>
                <c:pt idx="2">
                  <c:v>Structural steel</c:v>
                </c:pt>
                <c:pt idx="3">
                  <c:v>Electrical wire</c:v>
                </c:pt>
                <c:pt idx="4">
                  <c:v>Diesel</c:v>
                </c:pt>
                <c:pt idx="5">
                  <c:v>Electrical equipment</c:v>
                </c:pt>
                <c:pt idx="6">
                  <c:v>Water equipment</c:v>
                </c:pt>
                <c:pt idx="7">
                  <c:v>Bitumen</c:v>
                </c:pt>
                <c:pt idx="8">
                  <c:v>Interior</c:v>
                </c:pt>
                <c:pt idx="9">
                  <c:v>Firetrucks</c:v>
                </c:pt>
                <c:pt idx="10">
                  <c:v>Glass</c:v>
                </c:pt>
                <c:pt idx="11">
                  <c:v>Road equipment</c:v>
                </c:pt>
                <c:pt idx="12">
                  <c:v>Reinforcing bar</c:v>
                </c:pt>
                <c:pt idx="13">
                  <c:v>Polyethylene pipes</c:v>
                </c:pt>
                <c:pt idx="14">
                  <c:v>Quarry Material</c:v>
                </c:pt>
                <c:pt idx="15">
                  <c:v>Concrete</c:v>
                </c:pt>
                <c:pt idx="16">
                  <c:v>Wood</c:v>
                </c:pt>
                <c:pt idx="17">
                  <c:v>Masonry</c:v>
                </c:pt>
                <c:pt idx="18">
                  <c:v>Roofing</c:v>
                </c:pt>
                <c:pt idx="19">
                  <c:v>Total</c:v>
                </c:pt>
                <c:pt idx="20">
                  <c:v>Plant and equipment</c:v>
                </c:pt>
                <c:pt idx="21">
                  <c:v>Vehicles</c:v>
                </c:pt>
                <c:pt idx="22">
                  <c:v>Structural steel</c:v>
                </c:pt>
                <c:pt idx="23">
                  <c:v>Electrical wire</c:v>
                </c:pt>
                <c:pt idx="24">
                  <c:v>Diesel</c:v>
                </c:pt>
                <c:pt idx="25">
                  <c:v>Electrical equipment</c:v>
                </c:pt>
                <c:pt idx="26">
                  <c:v>Water equipment</c:v>
                </c:pt>
                <c:pt idx="27">
                  <c:v>Bitumen</c:v>
                </c:pt>
                <c:pt idx="28">
                  <c:v>Interior</c:v>
                </c:pt>
                <c:pt idx="29">
                  <c:v>Firetrucks</c:v>
                </c:pt>
                <c:pt idx="30">
                  <c:v>Glass</c:v>
                </c:pt>
                <c:pt idx="31">
                  <c:v>Road equipment</c:v>
                </c:pt>
                <c:pt idx="32">
                  <c:v>Reinforcing bar</c:v>
                </c:pt>
                <c:pt idx="33">
                  <c:v>Polyethylene pipes</c:v>
                </c:pt>
                <c:pt idx="34">
                  <c:v>Quarry Material</c:v>
                </c:pt>
                <c:pt idx="35">
                  <c:v>Concrete</c:v>
                </c:pt>
                <c:pt idx="36">
                  <c:v>Wood</c:v>
                </c:pt>
                <c:pt idx="37">
                  <c:v>Masonry</c:v>
                </c:pt>
                <c:pt idx="38">
                  <c:v>Roofing</c:v>
                </c:pt>
                <c:pt idx="39">
                  <c:v>Total</c:v>
                </c:pt>
              </c:strCache>
            </c:strRef>
          </c:cat>
          <c:val>
            <c:numRef>
              <c:f>[0]!Summary_Chart2_Value2</c:f>
              <c:numCache>
                <c:formatCode>0.00</c:formatCode>
                <c:ptCount val="40"/>
                <c:pt idx="0">
                  <c:v>137.45186617761667</c:v>
                </c:pt>
                <c:pt idx="1">
                  <c:v>68.605997078039351</c:v>
                </c:pt>
                <c:pt idx="2">
                  <c:v>61.679179814352814</c:v>
                </c:pt>
                <c:pt idx="3">
                  <c:v>54.291777254095962</c:v>
                </c:pt>
                <c:pt idx="4">
                  <c:v>39.067288019765911</c:v>
                </c:pt>
                <c:pt idx="5">
                  <c:v>37.276972981637812</c:v>
                </c:pt>
                <c:pt idx="6">
                  <c:v>35.34558357678717</c:v>
                </c:pt>
                <c:pt idx="7">
                  <c:v>29.305574749720805</c:v>
                </c:pt>
                <c:pt idx="8">
                  <c:v>16.429953656958126</c:v>
                </c:pt>
                <c:pt idx="9">
                  <c:v>11.040000000000001</c:v>
                </c:pt>
                <c:pt idx="10">
                  <c:v>9.1761906143341889</c:v>
                </c:pt>
                <c:pt idx="11">
                  <c:v>9.0545144783786036</c:v>
                </c:pt>
                <c:pt idx="12">
                  <c:v>9.0497073472165734</c:v>
                </c:pt>
                <c:pt idx="13">
                  <c:v>7.0588381337183499</c:v>
                </c:pt>
                <c:pt idx="14">
                  <c:v>5.2729590150098256</c:v>
                </c:pt>
                <c:pt idx="15">
                  <c:v>3.2820254029385283</c:v>
                </c:pt>
                <c:pt idx="16">
                  <c:v>2.4105859688589253</c:v>
                </c:pt>
                <c:pt idx="17">
                  <c:v>1.7635736343917616</c:v>
                </c:pt>
                <c:pt idx="18">
                  <c:v>1.4657218974820098E-2</c:v>
                </c:pt>
                <c:pt idx="19">
                  <c:v>0</c:v>
                </c:pt>
                <c:pt idx="20">
                  <c:v>143.01067413772742</c:v>
                </c:pt>
                <c:pt idx="21">
                  <c:v>72.067767572802794</c:v>
                </c:pt>
                <c:pt idx="22">
                  <c:v>66.324687867324741</c:v>
                </c:pt>
                <c:pt idx="23">
                  <c:v>57.169933464263842</c:v>
                </c:pt>
                <c:pt idx="24">
                  <c:v>40.908844600286223</c:v>
                </c:pt>
                <c:pt idx="25">
                  <c:v>37.8004141288855</c:v>
                </c:pt>
                <c:pt idx="26">
                  <c:v>37.149823502476053</c:v>
                </c:pt>
                <c:pt idx="27">
                  <c:v>30.798620496522361</c:v>
                </c:pt>
                <c:pt idx="28">
                  <c:v>17.445829893433256</c:v>
                </c:pt>
                <c:pt idx="29">
                  <c:v>14.880000000000003</c:v>
                </c:pt>
                <c:pt idx="30">
                  <c:v>9.7132962783598433</c:v>
                </c:pt>
                <c:pt idx="31">
                  <c:v>9.5499433772083968</c:v>
                </c:pt>
                <c:pt idx="32">
                  <c:v>9.5158193477337107</c:v>
                </c:pt>
                <c:pt idx="33">
                  <c:v>7.4232918915457802</c:v>
                </c:pt>
                <c:pt idx="34">
                  <c:v>5.5416030903318543</c:v>
                </c:pt>
                <c:pt idx="35">
                  <c:v>3.450138922767942</c:v>
                </c:pt>
                <c:pt idx="36">
                  <c:v>2.5764681658375044</c:v>
                </c:pt>
                <c:pt idx="37">
                  <c:v>1.8617385684229428</c:v>
                </c:pt>
                <c:pt idx="38">
                  <c:v>1.5544392352664489E-2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80-48B6-AE7C-9604B8A4BAC6}"/>
            </c:ext>
          </c:extLst>
        </c:ser>
        <c:ser>
          <c:idx val="3"/>
          <c:order val="2"/>
          <c:invertIfNegative val="0"/>
          <c:cat>
            <c:strRef>
              <c:f>[0]!Summary_Chart2_Assets</c:f>
              <c:strCache>
                <c:ptCount val="40"/>
                <c:pt idx="0">
                  <c:v>Plant and equipment</c:v>
                </c:pt>
                <c:pt idx="1">
                  <c:v>Vehicles</c:v>
                </c:pt>
                <c:pt idx="2">
                  <c:v>Structural steel</c:v>
                </c:pt>
                <c:pt idx="3">
                  <c:v>Electrical wire</c:v>
                </c:pt>
                <c:pt idx="4">
                  <c:v>Diesel</c:v>
                </c:pt>
                <c:pt idx="5">
                  <c:v>Electrical equipment</c:v>
                </c:pt>
                <c:pt idx="6">
                  <c:v>Water equipment</c:v>
                </c:pt>
                <c:pt idx="7">
                  <c:v>Bitumen</c:v>
                </c:pt>
                <c:pt idx="8">
                  <c:v>Interior</c:v>
                </c:pt>
                <c:pt idx="9">
                  <c:v>Firetrucks</c:v>
                </c:pt>
                <c:pt idx="10">
                  <c:v>Glass</c:v>
                </c:pt>
                <c:pt idx="11">
                  <c:v>Road equipment</c:v>
                </c:pt>
                <c:pt idx="12">
                  <c:v>Reinforcing bar</c:v>
                </c:pt>
                <c:pt idx="13">
                  <c:v>Polyethylene pipes</c:v>
                </c:pt>
                <c:pt idx="14">
                  <c:v>Quarry Material</c:v>
                </c:pt>
                <c:pt idx="15">
                  <c:v>Concrete</c:v>
                </c:pt>
                <c:pt idx="16">
                  <c:v>Wood</c:v>
                </c:pt>
                <c:pt idx="17">
                  <c:v>Masonry</c:v>
                </c:pt>
                <c:pt idx="18">
                  <c:v>Roofing</c:v>
                </c:pt>
                <c:pt idx="19">
                  <c:v>Total</c:v>
                </c:pt>
                <c:pt idx="20">
                  <c:v>Plant and equipment</c:v>
                </c:pt>
                <c:pt idx="21">
                  <c:v>Vehicles</c:v>
                </c:pt>
                <c:pt idx="22">
                  <c:v>Structural steel</c:v>
                </c:pt>
                <c:pt idx="23">
                  <c:v>Electrical wire</c:v>
                </c:pt>
                <c:pt idx="24">
                  <c:v>Diesel</c:v>
                </c:pt>
                <c:pt idx="25">
                  <c:v>Electrical equipment</c:v>
                </c:pt>
                <c:pt idx="26">
                  <c:v>Water equipment</c:v>
                </c:pt>
                <c:pt idx="27">
                  <c:v>Bitumen</c:v>
                </c:pt>
                <c:pt idx="28">
                  <c:v>Interior</c:v>
                </c:pt>
                <c:pt idx="29">
                  <c:v>Firetrucks</c:v>
                </c:pt>
                <c:pt idx="30">
                  <c:v>Glass</c:v>
                </c:pt>
                <c:pt idx="31">
                  <c:v>Road equipment</c:v>
                </c:pt>
                <c:pt idx="32">
                  <c:v>Reinforcing bar</c:v>
                </c:pt>
                <c:pt idx="33">
                  <c:v>Polyethylene pipes</c:v>
                </c:pt>
                <c:pt idx="34">
                  <c:v>Quarry Material</c:v>
                </c:pt>
                <c:pt idx="35">
                  <c:v>Concrete</c:v>
                </c:pt>
                <c:pt idx="36">
                  <c:v>Wood</c:v>
                </c:pt>
                <c:pt idx="37">
                  <c:v>Masonry</c:v>
                </c:pt>
                <c:pt idx="38">
                  <c:v>Roofing</c:v>
                </c:pt>
                <c:pt idx="39">
                  <c:v>Total</c:v>
                </c:pt>
              </c:strCache>
            </c:strRef>
          </c:cat>
          <c:val>
            <c:numRef>
              <c:f>[0]!Summary_Chart2_Total</c:f>
              <c:numCache>
                <c:formatCode>0.00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537.57724512279617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 formatCode="General">
                  <c:v>0</c:v>
                </c:pt>
                <c:pt idx="39" formatCode="General">
                  <c:v>567.20443969828284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80-48B6-AE7C-9604B8A4B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0697727"/>
        <c:axId val="1630698143"/>
      </c:barChart>
      <c:catAx>
        <c:axId val="16306977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2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0698143"/>
        <c:crosses val="autoZero"/>
        <c:auto val="1"/>
        <c:lblAlgn val="ctr"/>
        <c:lblOffset val="100"/>
        <c:noMultiLvlLbl val="0"/>
      </c:catAx>
      <c:valAx>
        <c:axId val="1630698143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0697727"/>
        <c:crosses val="autoZero"/>
        <c:crossBetween val="between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0" dropStyle="combo" dx="22" fmlaLink="$B$7" fmlaRange="'Model Calcuations'!$GA$8:$GA$19" sel="10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36</xdr:row>
      <xdr:rowOff>0</xdr:rowOff>
    </xdr:from>
    <xdr:ext cx="304800" cy="304800"/>
    <xdr:sp macro="" textlink="">
      <xdr:nvSpPr>
        <xdr:cNvPr id="2" name="AutoShape 4" descr="Changi Airport Png - Changi Airport Group Logo - 2329x669 PNG ...">
          <a:extLst>
            <a:ext uri="{FF2B5EF4-FFF2-40B4-BE49-F238E27FC236}">
              <a16:creationId xmlns:a16="http://schemas.microsoft.com/office/drawing/2014/main" id="{D57219BF-F5A8-4D26-97EF-513EAA97FFDF}"/>
            </a:ext>
          </a:extLst>
        </xdr:cNvPr>
        <xdr:cNvSpPr>
          <a:spLocks noChangeAspect="1" noChangeArrowheads="1"/>
        </xdr:cNvSpPr>
      </xdr:nvSpPr>
      <xdr:spPr bwMode="auto">
        <a:xfrm>
          <a:off x="22164675" y="8067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670559</xdr:colOff>
      <xdr:row>1</xdr:row>
      <xdr:rowOff>26988</xdr:rowOff>
    </xdr:from>
    <xdr:to>
      <xdr:col>3</xdr:col>
      <xdr:colOff>4327291</xdr:colOff>
      <xdr:row>6</xdr:row>
      <xdr:rowOff>58698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E7BECA-150E-4E9C-9145-5D3080D7B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56784" y="188913"/>
          <a:ext cx="3668162" cy="828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89295</xdr:colOff>
      <xdr:row>1</xdr:row>
      <xdr:rowOff>32333</xdr:rowOff>
    </xdr:from>
    <xdr:to>
      <xdr:col>3</xdr:col>
      <xdr:colOff>163439</xdr:colOff>
      <xdr:row>6</xdr:row>
      <xdr:rowOff>54518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DC53F3-05A2-467C-8B14-7AAB3A00D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9295" y="194258"/>
          <a:ext cx="4156559" cy="828000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>
    <xdr:from>
      <xdr:col>0</xdr:col>
      <xdr:colOff>85726</xdr:colOff>
      <xdr:row>8</xdr:row>
      <xdr:rowOff>95250</xdr:rowOff>
    </xdr:from>
    <xdr:to>
      <xdr:col>3</xdr:col>
      <xdr:colOff>7143750</xdr:colOff>
      <xdr:row>19</xdr:row>
      <xdr:rowOff>123825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426B01D-D126-4596-B0E2-04B5F047DA40}"/>
            </a:ext>
          </a:extLst>
        </xdr:cNvPr>
        <xdr:cNvSpPr txBox="1"/>
      </xdr:nvSpPr>
      <xdr:spPr>
        <a:xfrm>
          <a:off x="85726" y="1390650"/>
          <a:ext cx="11153774" cy="1838325"/>
        </a:xfrm>
        <a:prstGeom prst="rect">
          <a:avLst/>
        </a:prstGeom>
        <a:solidFill>
          <a:srgbClr val="002060"/>
        </a:solidFill>
        <a:ln w="28575"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AU" sz="2800" b="1" baseline="0">
              <a:solidFill>
                <a:schemeClr val="bg1"/>
              </a:solidFill>
            </a:rPr>
            <a:t>Municipality Modelling Tool</a:t>
          </a:r>
        </a:p>
        <a:p>
          <a:pPr algn="l"/>
          <a:endParaRPr lang="en-AU" sz="1200" b="1" baseline="0">
            <a:solidFill>
              <a:schemeClr val="bg1"/>
            </a:solidFill>
          </a:endParaRPr>
        </a:p>
        <a:p>
          <a:pPr algn="l"/>
          <a:r>
            <a:rPr lang="en-AU" sz="2800" b="1" baseline="0">
              <a:solidFill>
                <a:schemeClr val="bg1"/>
              </a:solidFill>
            </a:rPr>
            <a:t>Estimating Tariff Impact on Municipal Construction</a:t>
          </a:r>
        </a:p>
        <a:p>
          <a:pPr algn="l"/>
          <a:endParaRPr lang="en-AU" sz="1200" b="1" baseline="0">
            <a:solidFill>
              <a:schemeClr val="bg1"/>
            </a:solidFill>
          </a:endParaRPr>
        </a:p>
        <a:p>
          <a:pPr algn="l"/>
          <a:r>
            <a:rPr lang="en-AU" sz="1400" b="1" i="1" baseline="0">
              <a:solidFill>
                <a:schemeClr val="bg1"/>
              </a:solidFill>
            </a:rPr>
            <a:t>A user-friendly tool to help individual municipalities make an initial estimate of the expected impact of tariffs </a:t>
          </a:r>
        </a:p>
        <a:p>
          <a:pPr algn="l"/>
          <a:r>
            <a:rPr lang="en-AU" sz="1400" b="1" i="1" baseline="0">
              <a:solidFill>
                <a:schemeClr val="bg1"/>
              </a:solidFill>
            </a:rPr>
            <a:t>on their construction budget for FY26 and FY27. </a:t>
          </a:r>
        </a:p>
        <a:p>
          <a:pPr algn="l"/>
          <a:r>
            <a:rPr lang="en-AU" sz="1400" b="1" baseline="0">
              <a:solidFill>
                <a:schemeClr val="bg1"/>
              </a:solidFill>
            </a:rPr>
            <a:t> </a:t>
          </a:r>
          <a:endParaRPr lang="en-AU" sz="160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17</xdr:col>
      <xdr:colOff>296333</xdr:colOff>
      <xdr:row>29</xdr:row>
      <xdr:rowOff>32279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4900E2E-8E18-408B-AFA1-44A528BB6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74083</xdr:colOff>
      <xdr:row>30</xdr:row>
      <xdr:rowOff>105834</xdr:rowOff>
    </xdr:from>
    <xdr:to>
      <xdr:col>18</xdr:col>
      <xdr:colOff>307780</xdr:colOff>
      <xdr:row>53</xdr:row>
      <xdr:rowOff>32280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007CD5-7923-4D67-9DBD-840541F78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0.08021</cdr:x>
      <cdr:y>0.07221</cdr:y>
    </cdr:from>
    <cdr:to>
      <cdr:x>0.53224</cdr:x>
      <cdr:y>0.1328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E6DD704B-5121-F34A-FB64-BF45EFD76E9B}"/>
            </a:ext>
          </a:extLst>
        </cdr:cNvPr>
        <cdr:cNvSpPr/>
      </cdr:nvSpPr>
      <cdr:spPr>
        <a:xfrm xmlns:a="http://schemas.openxmlformats.org/drawingml/2006/main">
          <a:off x="806128" y="317325"/>
          <a:ext cx="4542872" cy="266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 b="1">
              <a:solidFill>
                <a:sysClr val="windowText" lastClr="000000"/>
              </a:solidFill>
            </a:rPr>
            <a:t>FY26</a:t>
          </a:r>
        </a:p>
      </cdr:txBody>
    </cdr:sp>
  </cdr:relSizeAnchor>
  <cdr:relSizeAnchor xmlns:cdr="http://schemas.openxmlformats.org/drawingml/2006/chartDrawing">
    <cdr:from>
      <cdr:x>0.5338</cdr:x>
      <cdr:y>0.07133</cdr:y>
    </cdr:from>
    <cdr:to>
      <cdr:x>0.98583</cdr:x>
      <cdr:y>0.13192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41F22A49-24E1-B910-0AEC-7146BE75CD7D}"/>
            </a:ext>
          </a:extLst>
        </cdr:cNvPr>
        <cdr:cNvSpPr/>
      </cdr:nvSpPr>
      <cdr:spPr>
        <a:xfrm xmlns:a="http://schemas.openxmlformats.org/drawingml/2006/main">
          <a:off x="5364644" y="313467"/>
          <a:ext cx="4542872" cy="2662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>
              <a:solidFill>
                <a:sysClr val="windowText" lastClr="000000"/>
              </a:solidFill>
            </a:rPr>
            <a:t>FY27</a:t>
          </a:r>
        </a:p>
      </cdr:txBody>
    </cdr:sp>
  </cdr:relSizeAnchor>
  <cdr:relSizeAnchor xmlns:cdr="http://schemas.openxmlformats.org/drawingml/2006/chartDrawing">
    <cdr:from>
      <cdr:x>0.05971</cdr:x>
      <cdr:y>0.0065</cdr:y>
    </cdr:from>
    <cdr:to>
      <cdr:x>0.10331</cdr:x>
      <cdr:y>0.05852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C98E3477-2794-6013-FBCC-C1E3EACB6F76}"/>
            </a:ext>
          </a:extLst>
        </cdr:cNvPr>
        <cdr:cNvSpPr txBox="1"/>
      </cdr:nvSpPr>
      <cdr:spPr>
        <a:xfrm xmlns:a="http://schemas.openxmlformats.org/drawingml/2006/main">
          <a:off x="600075" y="28575"/>
          <a:ext cx="4381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900">
              <a:latin typeface="Arial" panose="020B0604020202020204" pitchFamily="34" charset="0"/>
              <a:cs typeface="Arial" panose="020B0604020202020204" pitchFamily="34" charset="0"/>
            </a:rPr>
            <a:t>$mn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0.07991</cdr:x>
      <cdr:y>0.05951</cdr:y>
    </cdr:from>
    <cdr:to>
      <cdr:x>0.53194</cdr:x>
      <cdr:y>0.1201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E6DD704B-5121-F34A-FB64-BF45EFD76E9B}"/>
            </a:ext>
          </a:extLst>
        </cdr:cNvPr>
        <cdr:cNvSpPr/>
      </cdr:nvSpPr>
      <cdr:spPr>
        <a:xfrm xmlns:a="http://schemas.openxmlformats.org/drawingml/2006/main">
          <a:off x="855912" y="256354"/>
          <a:ext cx="4841783" cy="2610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 b="1">
              <a:solidFill>
                <a:sysClr val="windowText" lastClr="000000"/>
              </a:solidFill>
            </a:rPr>
            <a:t>FY26</a:t>
          </a:r>
        </a:p>
      </cdr:txBody>
    </cdr:sp>
  </cdr:relSizeAnchor>
  <cdr:relSizeAnchor xmlns:cdr="http://schemas.openxmlformats.org/drawingml/2006/chartDrawing">
    <cdr:from>
      <cdr:x>0.53545</cdr:x>
      <cdr:y>0.06097</cdr:y>
    </cdr:from>
    <cdr:to>
      <cdr:x>0.98748</cdr:x>
      <cdr:y>0.12156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41F22A49-24E1-B910-0AEC-7146BE75CD7D}"/>
            </a:ext>
          </a:extLst>
        </cdr:cNvPr>
        <cdr:cNvSpPr/>
      </cdr:nvSpPr>
      <cdr:spPr>
        <a:xfrm xmlns:a="http://schemas.openxmlformats.org/drawingml/2006/main">
          <a:off x="5735299" y="262661"/>
          <a:ext cx="4841782" cy="26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>
              <a:solidFill>
                <a:sysClr val="windowText" lastClr="000000"/>
              </a:solidFill>
            </a:rPr>
            <a:t>FY27</a:t>
          </a:r>
        </a:p>
      </cdr:txBody>
    </cdr:sp>
  </cdr:relSizeAnchor>
  <cdr:relSizeAnchor xmlns:cdr="http://schemas.openxmlformats.org/drawingml/2006/chartDrawing">
    <cdr:from>
      <cdr:x>0.06254</cdr:x>
      <cdr:y>0</cdr:y>
    </cdr:from>
    <cdr:to>
      <cdr:x>0.10345</cdr:x>
      <cdr:y>0.05306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0F4D36F5-C253-FBD0-54FC-ACBB1F15CC7E}"/>
            </a:ext>
          </a:extLst>
        </cdr:cNvPr>
        <cdr:cNvSpPr txBox="1"/>
      </cdr:nvSpPr>
      <cdr:spPr>
        <a:xfrm xmlns:a="http://schemas.openxmlformats.org/drawingml/2006/main">
          <a:off x="669925" y="0"/>
          <a:ext cx="4381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900">
              <a:latin typeface="Arial" panose="020B0604020202020204" pitchFamily="34" charset="0"/>
              <a:cs typeface="Arial" panose="020B0604020202020204" pitchFamily="34" charset="0"/>
            </a:rPr>
            <a:t>$mn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299296</xdr:colOff>
      <xdr:row>32</xdr:row>
      <xdr:rowOff>148591</xdr:rowOff>
    </xdr:from>
    <xdr:to>
      <xdr:col>11</xdr:col>
      <xdr:colOff>337079</xdr:colOff>
      <xdr:row>49</xdr:row>
      <xdr:rowOff>12383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6E6F859-1888-AC51-9C07-53276D8A36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106680</xdr:colOff>
          <xdr:row>6</xdr:row>
          <xdr:rowOff>7620</xdr:rowOff>
        </xdr:from>
        <xdr:to>
          <xdr:col>5</xdr:col>
          <xdr:colOff>129540</xdr:colOff>
          <xdr:row>7</xdr:row>
          <xdr:rowOff>45720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7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117662</xdr:colOff>
      <xdr:row>20</xdr:row>
      <xdr:rowOff>29136</xdr:rowOff>
    </xdr:from>
    <xdr:to>
      <xdr:col>59</xdr:col>
      <xdr:colOff>1187442</xdr:colOff>
      <xdr:row>40</xdr:row>
      <xdr:rowOff>78847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0D6029-5FF3-48FD-9884-1455AE651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70597</xdr:colOff>
      <xdr:row>57</xdr:row>
      <xdr:rowOff>180975</xdr:rowOff>
    </xdr:from>
    <xdr:to>
      <xdr:col>59</xdr:col>
      <xdr:colOff>1140377</xdr:colOff>
      <xdr:row>78</xdr:row>
      <xdr:rowOff>21136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D59675-39CE-463C-BAF6-B008EBB07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0.08969</cdr:x>
      <cdr:y>0.04403</cdr:y>
    </cdr:from>
    <cdr:to>
      <cdr:x>0.54172</cdr:x>
      <cdr:y>0.10462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E6DD704B-5121-F34A-FB64-BF45EFD76E9B}"/>
            </a:ext>
          </a:extLst>
        </cdr:cNvPr>
        <cdr:cNvSpPr/>
      </cdr:nvSpPr>
      <cdr:spPr>
        <a:xfrm xmlns:a="http://schemas.openxmlformats.org/drawingml/2006/main">
          <a:off x="820225" y="186872"/>
          <a:ext cx="4133849" cy="257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 b="1">
              <a:solidFill>
                <a:sysClr val="windowText" lastClr="000000"/>
              </a:solidFill>
            </a:rPr>
            <a:t>FY26</a:t>
          </a:r>
        </a:p>
      </cdr:txBody>
    </cdr:sp>
  </cdr:relSizeAnchor>
  <cdr:relSizeAnchor xmlns:cdr="http://schemas.openxmlformats.org/drawingml/2006/chartDrawing">
    <cdr:from>
      <cdr:x>0.54612</cdr:x>
      <cdr:y>0.03665</cdr:y>
    </cdr:from>
    <cdr:to>
      <cdr:x>0.99815</cdr:x>
      <cdr:y>0.09724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41F22A49-24E1-B910-0AEC-7146BE75CD7D}"/>
            </a:ext>
          </a:extLst>
        </cdr:cNvPr>
        <cdr:cNvSpPr/>
      </cdr:nvSpPr>
      <cdr:spPr>
        <a:xfrm xmlns:a="http://schemas.openxmlformats.org/drawingml/2006/main">
          <a:off x="4994275" y="155575"/>
          <a:ext cx="4133849" cy="257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>
              <a:solidFill>
                <a:sysClr val="windowText" lastClr="000000"/>
              </a:solidFill>
            </a:rPr>
            <a:t>FY27</a:t>
          </a:r>
        </a:p>
      </cdr:txBody>
    </cdr:sp>
  </cdr:relSizeAnchor>
  <cdr:relSizeAnchor xmlns:cdr="http://schemas.openxmlformats.org/drawingml/2006/chartDrawing">
    <cdr:from>
      <cdr:x>0.08969</cdr:x>
      <cdr:y>0.04403</cdr:y>
    </cdr:from>
    <cdr:to>
      <cdr:x>0.54172</cdr:x>
      <cdr:y>0.10462</cdr:y>
    </cdr:to>
    <cdr:sp macro="" textlink="">
      <cdr:nvSpPr>
        <cdr:cNvPr id="4" name="Rectangle 1">
          <a:extLst xmlns:a="http://schemas.openxmlformats.org/drawingml/2006/main">
            <a:ext uri="{FF2B5EF4-FFF2-40B4-BE49-F238E27FC236}">
              <a16:creationId xmlns:a16="http://schemas.microsoft.com/office/drawing/2014/main" id="{E6DD704B-5121-F34A-FB64-BF45EFD76E9B}"/>
            </a:ext>
          </a:extLst>
        </cdr:cNvPr>
        <cdr:cNvSpPr/>
      </cdr:nvSpPr>
      <cdr:spPr>
        <a:xfrm xmlns:a="http://schemas.openxmlformats.org/drawingml/2006/main">
          <a:off x="822956" y="186719"/>
          <a:ext cx="4147626" cy="2569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 b="1">
              <a:solidFill>
                <a:sysClr val="windowText" lastClr="000000"/>
              </a:solidFill>
            </a:rPr>
            <a:t>FY26</a:t>
          </a:r>
        </a:p>
      </cdr:txBody>
    </cdr:sp>
  </cdr:relSizeAnchor>
  <cdr:relSizeAnchor xmlns:cdr="http://schemas.openxmlformats.org/drawingml/2006/chartDrawing">
    <cdr:from>
      <cdr:x>0.54612</cdr:x>
      <cdr:y>0.03665</cdr:y>
    </cdr:from>
    <cdr:to>
      <cdr:x>0.99815</cdr:x>
      <cdr:y>0.09724</cdr:y>
    </cdr:to>
    <cdr:sp macro="" textlink="">
      <cdr:nvSpPr>
        <cdr:cNvPr id="5" name="Rectangle 2">
          <a:extLst xmlns:a="http://schemas.openxmlformats.org/drawingml/2006/main">
            <a:ext uri="{FF2B5EF4-FFF2-40B4-BE49-F238E27FC236}">
              <a16:creationId xmlns:a16="http://schemas.microsoft.com/office/drawing/2014/main" id="{41F22A49-24E1-B910-0AEC-7146BE75CD7D}"/>
            </a:ext>
          </a:extLst>
        </cdr:cNvPr>
        <cdr:cNvSpPr/>
      </cdr:nvSpPr>
      <cdr:spPr>
        <a:xfrm xmlns:a="http://schemas.openxmlformats.org/drawingml/2006/main">
          <a:off x="4994275" y="155575"/>
          <a:ext cx="4133849" cy="257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>
              <a:solidFill>
                <a:sysClr val="windowText" lastClr="000000"/>
              </a:solidFill>
            </a:rPr>
            <a:t>FY27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0.08969</cdr:x>
      <cdr:y>0.04403</cdr:y>
    </cdr:from>
    <cdr:to>
      <cdr:x>0.54172</cdr:x>
      <cdr:y>0.10462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E6DD704B-5121-F34A-FB64-BF45EFD76E9B}"/>
            </a:ext>
          </a:extLst>
        </cdr:cNvPr>
        <cdr:cNvSpPr/>
      </cdr:nvSpPr>
      <cdr:spPr>
        <a:xfrm xmlns:a="http://schemas.openxmlformats.org/drawingml/2006/main">
          <a:off x="820225" y="186872"/>
          <a:ext cx="4133849" cy="257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 b="1">
              <a:solidFill>
                <a:sysClr val="windowText" lastClr="000000"/>
              </a:solidFill>
            </a:rPr>
            <a:t>FY26</a:t>
          </a:r>
        </a:p>
      </cdr:txBody>
    </cdr:sp>
  </cdr:relSizeAnchor>
  <cdr:relSizeAnchor xmlns:cdr="http://schemas.openxmlformats.org/drawingml/2006/chartDrawing">
    <cdr:from>
      <cdr:x>0.54612</cdr:x>
      <cdr:y>0.03665</cdr:y>
    </cdr:from>
    <cdr:to>
      <cdr:x>0.99815</cdr:x>
      <cdr:y>0.09724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41F22A49-24E1-B910-0AEC-7146BE75CD7D}"/>
            </a:ext>
          </a:extLst>
        </cdr:cNvPr>
        <cdr:cNvSpPr/>
      </cdr:nvSpPr>
      <cdr:spPr>
        <a:xfrm xmlns:a="http://schemas.openxmlformats.org/drawingml/2006/main">
          <a:off x="4994275" y="155575"/>
          <a:ext cx="4133849" cy="257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>
              <a:solidFill>
                <a:sysClr val="windowText" lastClr="000000"/>
              </a:solidFill>
            </a:rPr>
            <a:t>FY27</a:t>
          </a:r>
        </a:p>
      </cdr:txBody>
    </cdr:sp>
  </cdr:relSizeAnchor>
</c:userShapes>
</file>

<file path=xl/persons/person.xml><?xml version="1.0" encoding="utf-8"?>
<personList xmlns="http://schemas.microsoft.com/office/spreadsheetml/2018/threadedcomments" xmlns:x="http://schemas.openxmlformats.org/spreadsheetml/2006/main">
  <person displayName="Daniel Crook" id="{FCC2AD63-B9C2-44A9-A565-4556D3044BD2}" userId="S::dcrook@oxfordeconomics.com::7133cdc3-be4e-4886-873a-1a946270eb01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13</v>
    <v>3</v>
  </rv>
  <rv s="1">
    <v>13</v>
    <v>1</v>
  </rv>
</rvData>
</file>

<file path=xl/richData/rdrichvaluestructure.xml><?xml version="1.0" encoding="utf-8"?>
<rvStructures xmlns="http://schemas.microsoft.com/office/spreadsheetml/2017/richdata" count="2">
  <s t="_error">
    <k n="errorType" t="i"/>
    <k n="subType" t="i"/>
  </s>
  <s t="_error">
    <k n="errorType" t="i"/>
    <k n="propagated" t="b"/>
  </s>
</rvStructures>
</file>

<file path=xl/theme/theme1.xml><?xml version="1.0" encoding="utf-8"?>
<a:theme xmlns:a="http://schemas.openxmlformats.org/drawingml/2006/main" name="BIS_OE_Theme">
  <a:themeElements>
    <a:clrScheme name="Bold Colours O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BD1B21"/>
      </a:accent1>
      <a:accent2>
        <a:srgbClr val="003469"/>
      </a:accent2>
      <a:accent3>
        <a:srgbClr val="D1A21E"/>
      </a:accent3>
      <a:accent4>
        <a:srgbClr val="7B7C77"/>
      </a:accent4>
      <a:accent5>
        <a:srgbClr val="965793"/>
      </a:accent5>
      <a:accent6>
        <a:srgbClr val="00ADDC"/>
      </a:accent6>
      <a:hlink>
        <a:srgbClr val="00793F"/>
      </a:hlink>
      <a:folHlink>
        <a:srgbClr val="DE6328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Bold Colours O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BD1B21"/>
    </a:accent1>
    <a:accent2>
      <a:srgbClr val="003469"/>
    </a:accent2>
    <a:accent3>
      <a:srgbClr val="D1A21E"/>
    </a:accent3>
    <a:accent4>
      <a:srgbClr val="7B7C77"/>
    </a:accent4>
    <a:accent5>
      <a:srgbClr val="965793"/>
    </a:accent5>
    <a:accent6>
      <a:srgbClr val="00ADDC"/>
    </a:accent6>
    <a:hlink>
      <a:srgbClr val="00793F"/>
    </a:hlink>
    <a:folHlink>
      <a:srgbClr val="DE6328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Bold Colours O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BD1B21"/>
    </a:accent1>
    <a:accent2>
      <a:srgbClr val="003469"/>
    </a:accent2>
    <a:accent3>
      <a:srgbClr val="D1A21E"/>
    </a:accent3>
    <a:accent4>
      <a:srgbClr val="7B7C77"/>
    </a:accent4>
    <a:accent5>
      <a:srgbClr val="965793"/>
    </a:accent5>
    <a:accent6>
      <a:srgbClr val="00ADDC"/>
    </a:accent6>
    <a:hlink>
      <a:srgbClr val="00793F"/>
    </a:hlink>
    <a:folHlink>
      <a:srgbClr val="DE6328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18" dT="2025-04-03T06:33:45.61" personId="{FCC2AD63-B9C2-44A9-A565-4556D3044BD2}" id="{5E0DF859-9E32-474E-AF7C-24B39662E7D5}">
    <text>Gravel roads; HCB Roads (concrete/asphalt) - Alternatively Arterial and Collector roads; LCB Roads (surface treated or chip seal)  - Alternatively most Local roads; Sidewalks &amp; Curbs; Appurtenances (Road Signs, Streetlights, Traffic Signals)</text>
  </threadedComment>
  <threadedComment ref="H19" dT="2025-04-03T06:33:49.35" personId="{FCC2AD63-B9C2-44A9-A565-4556D3044BD2}" id="{C0F63CD1-B1B6-495C-9D34-36DC0CB1D00C}">
    <text xml:space="preserve">Bridge (over 3m span, falls under OSIM), Culvert (under 3m span) </text>
  </threadedComment>
  <threadedComment ref="H20" dT="2025-04-03T06:33:56.72" personId="{FCC2AD63-B9C2-44A9-A565-4556D3044BD2}" id="{F1831D99-0C9D-4ADD-B000-9BB7C3C0941E}">
    <text xml:space="preserve">Mains, Valves &amp; meters, Pump/lift stations, Treatment plant, Hydrant </text>
  </threadedComment>
  <threadedComment ref="H21" dT="2025-04-03T06:34:00.42" personId="{FCC2AD63-B9C2-44A9-A565-4556D3044BD2}" id="{07B1E60A-675C-48F6-ACEA-31CD511EBDC2}">
    <text>Mains, Catch basins, Manholes, Ponds (wet or dry), Treatment plant</text>
  </threadedComment>
  <threadedComment ref="H22" dT="2025-04-03T06:33:30.96" personId="{FCC2AD63-B9C2-44A9-A565-4556D3044BD2}" id="{4C706317-857B-4CC5-82AB-6E38F7F8FCBF}">
    <text>Municipal buildings (includes administrative offices, town hall, park facilities, arenas, firehalls, libraries, museums etc.)</text>
  </threadedComment>
  <threadedComment ref="H23" dT="2025-04-03T06:33:37.65" personId="{FCC2AD63-B9C2-44A9-A565-4556D3044BD2}" id="{6847A351-C73C-4B5B-A447-4C2E72A3D5DC}">
    <text>Social Housing - low density</text>
  </threadedComment>
  <threadedComment ref="H24" dT="2025-04-03T06:33:41.69" personId="{FCC2AD63-B9C2-44A9-A565-4556D3044BD2}" id="{2F31DEA2-3F1A-4C01-ACEE-B9D2E2E1D44D}">
    <text xml:space="preserve"> Social Housing - medium density</text>
  </threadedComment>
  <threadedComment ref="H25" dT="2025-04-03T06:33:41.69" personId="{FCC2AD63-B9C2-44A9-A565-4556D3044BD2}" id="{64FE9E11-BACF-4BFC-86ED-955A59C5F823}">
    <text xml:space="preserve"> Social Housing - high density</text>
  </threadedComment>
  <threadedComment ref="H26" dT="2025-04-03T06:34:04.26" personId="{FCC2AD63-B9C2-44A9-A565-4556D3044BD2}" id="{041BC81F-740E-4286-9CB9-70A5C45CCB73}">
    <text>Light &amp; Medium vehicles (Pickup truck, SUV, Van)
Heavy vehicles (Dump Truck, Street Sweeper, Vacuum Truck – over 4500kg and require safety inspections)
Fire Truck
Buses</text>
  </threadedComment>
  <threadedComment ref="H27" dT="2025-04-03T06:34:07.79" personId="{FCC2AD63-B9C2-44A9-A565-4556D3044BD2}" id="{DC8F1954-2795-4AB4-B709-84DD67562D6D}">
    <text xml:space="preserve">Light equipment (small motorized equipment like lawnmowers, small utility vehicles, etc.)
 Medium equipment (mid-sized motorized equipment like riding lawnmowers, ice resurfacing, sidewalk plows, etc.)
Heavy equipment (large motorized equipment like backhoe, bulldozer, excavator, grader, loader, tractor, etc.)
Trailers </text>
  </threadedComment>
  <threadedComment ref="H28" dT="2025-04-03T06:34:11.24" personId="{FCC2AD63-B9C2-44A9-A565-4556D3044BD2}" id="{5319CF44-A6DF-440D-A86E-21068F7FB492}">
    <text>Computers, desks, chairs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11" dT="2025-04-15T11:02:28.48" personId="{FCC2AD63-B9C2-44A9-A565-4556D3044BD2}" id="{5AFEA6B8-B939-4BBA-AD7C-1F55286FC282}">
    <text>Expected annual capital expenditure for each input before tariffs were applied</text>
  </threadedComment>
  <threadedComment ref="F11" dT="2025-04-14T05:07:50.45" personId="{FCC2AD63-B9C2-44A9-A565-4556D3044BD2}" id="{50455B86-C573-4D9A-BF6E-67F7DDCC55C9}">
    <text>Tariff on US imports</text>
  </threadedComment>
  <threadedComment ref="B12" dT="2025-04-03T06:42:43.20" personId="{FCC2AD63-B9C2-44A9-A565-4556D3044BD2}" id="{0B54D0DD-49FF-4D47-AFF4-BBB6AA7F0921}">
    <text>Construction input</text>
  </threadedComment>
  <threadedComment ref="H12" dT="2025-04-14T05:07:45.77" personId="{FCC2AD63-B9C2-44A9-A565-4556D3044BD2}" id="{73F50273-F280-4B24-A183-69DF3025789C}">
    <text>The share of supply imported from the US</text>
  </threadedComment>
  <threadedComment ref="I12" dT="2025-04-10T21:06:08.62" personId="{FCC2AD63-B9C2-44A9-A565-4556D3044BD2}" id="{30A19FEF-41AF-4A52-803E-BC26F6F09715}">
    <text>Import price relative to the retail price (80% for equipment and vehicles, 60% for all other goods)</text>
  </threadedComment>
  <threadedComment ref="J12" dT="2025-04-15T15:01:49.96" personId="{FCC2AD63-B9C2-44A9-A565-4556D3044BD2}" id="{DD8F2A63-A177-4F50-92E9-A85851E12BCE}">
    <text>This will bring up a flag whenever necessary information is missing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9" dT="2025-04-03T06:37:15.11" personId="{FCC2AD63-B9C2-44A9-A565-4556D3044BD2}" id="{650B4890-6700-4988-9729-9D39CC2D923D}">
    <text>Expected annual capital expenditure for each input before tariffs were applied</text>
  </threadedComment>
  <threadedComment ref="H9" dT="2025-04-03T06:37:15.11" personId="{FCC2AD63-B9C2-44A9-A565-4556D3044BD2}" id="{05B4ACC9-113A-4158-A296-6BA762C400C6}">
    <text>Local import tariff</text>
  </threadedComment>
  <threadedComment ref="J9" dT="2025-04-03T06:37:15.11" personId="{FCC2AD63-B9C2-44A9-A565-4556D3044BD2}" id="{869C2D8B-BA5E-4ED9-9943-0B95D46B3562}">
    <text>Direct increase in cost as a result of the tariff</text>
  </threadedComment>
  <threadedComment ref="L9" dT="2025-04-03T06:37:19.02" personId="{FCC2AD63-B9C2-44A9-A565-4556D3044BD2}" id="{E17ABCAF-3E96-4153-88FE-883803D974E3}">
    <text>relative increase in capital expenditure for the respective input</text>
  </threadedComment>
  <threadedComment ref="B10" dT="2025-04-03T06:36:52.52" personId="{FCC2AD63-B9C2-44A9-A565-4556D3044BD2}" id="{5BC1E85F-2209-429D-B634-2D23DE6CDEA2}">
    <text>Construction Input</text>
  </threadedComment>
  <threadedComment ref="C10" dT="2025-04-03T06:36:57.02" personId="{FCC2AD63-B9C2-44A9-A565-4556D3044BD2}" id="{E2ABAD67-DFF1-4372-BAAA-19E048BE5507}">
    <text>The respective input's share of capital expenditure</text>
  </threadedComment>
  <threadedComment ref="D10" dT="2025-04-03T06:37:00.74" personId="{FCC2AD63-B9C2-44A9-A565-4556D3044BD2}" id="{41094CF7-DB26-49C9-BABF-BC251268135C}">
    <text>The share of supply imported from the US</text>
  </threadedComment>
  <threadedComment ref="E10" dT="2025-04-03T06:37:04.65" personId="{FCC2AD63-B9C2-44A9-A565-4556D3044BD2}" id="{DFFECB6B-E129-4593-B11E-39E0A0DED35B}">
    <text>Import price relative to the retail price (80% for equipment and vehicles, 60% for all other goods)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7" dT="2025-04-03T05:34:25.90" personId="{FCC2AD63-B9C2-44A9-A565-4556D3044BD2}" id="{96054E6A-2012-4978-90A3-2DE9580F011C}">
    <text>Asset category, see Core Inputs Interface for a further defintions</text>
  </threadedComment>
  <threadedComment ref="C7" dT="2025-04-03T05:32:14.12" personId="{FCC2AD63-B9C2-44A9-A565-4556D3044BD2}" id="{B5D8BD36-70D0-4910-9203-DBC19D202C0C}">
    <text>Construction input</text>
  </threadedComment>
  <threadedComment ref="D7" dT="2025-04-03T05:32:31.49" personId="{FCC2AD63-B9C2-44A9-A565-4556D3044BD2}" id="{0DBCC876-35C4-427F-96B5-9076D40716D1}">
    <text>Fiscal Year (FY)</text>
  </threadedComment>
  <threadedComment ref="E7" dT="2025-04-14T05:14:41.03" personId="{FCC2AD63-B9C2-44A9-A565-4556D3044BD2}" id="{7EF1AA6E-DF17-4734-9503-3A40358FE89C}">
    <text>Total capex for the Asset Category (i.e. Roads)</text>
  </threadedComment>
  <threadedComment ref="F7" dT="2025-04-03T05:32:59.77" personId="{FCC2AD63-B9C2-44A9-A565-4556D3044BD2}" id="{015339B4-691C-458E-859E-1BE1EA72142D}">
    <text>The material's share of Capex for the Asset</text>
  </threadedComment>
  <threadedComment ref="G7" dT="2025-04-03T05:37:13.69" personId="{FCC2AD63-B9C2-44A9-A565-4556D3044BD2}" id="{EF0E9BF4-C2C4-4AEB-9EB0-51C109CCF08D}">
    <text>Share of demand imported from the US</text>
  </threadedComment>
  <threadedComment ref="H7" dT="2025-04-03T05:33:52.10" personId="{FCC2AD63-B9C2-44A9-A565-4556D3044BD2}" id="{977E70E5-947A-4DFD-8054-64BB7789F88F}">
    <text>Import price relative to the retail price (80% for equipment and vehicles, 60% for all other goods)</text>
  </threadedComment>
  <threadedComment ref="I7" dT="2025-04-03T05:35:21.71" personId="{FCC2AD63-B9C2-44A9-A565-4556D3044BD2}" id="{7310AF6A-4C3A-45AB-A111-B09CE8A0E141}">
    <text>Local import tariff rate for the specified material</text>
  </threadedComment>
  <threadedComment ref="J7" dT="2025-04-03T05:35:48.71" personId="{FCC2AD63-B9C2-44A9-A565-4556D3044BD2}" id="{F118BBE4-317C-4697-B5F8-CE4E3AD5B946}">
    <text>Direct increase in cost as a result of the tariff</text>
  </threadedComment>
  <threadedComment ref="K7" dT="2025-04-03T05:36:14.07" personId="{FCC2AD63-B9C2-44A9-A565-4556D3044BD2}" id="{1B860301-CF15-4106-AED8-E910020FD6A7}">
    <text>Expected annual capital expenditure for each input before tariffs were applied</text>
  </threadedComment>
  <threadedComment ref="L7" dT="2025-04-03T05:36:47.22" personId="{FCC2AD63-B9C2-44A9-A565-4556D3044BD2}" id="{BA30356D-7CF6-4740-B0DB-BA7715D42D67}">
    <text>Relatively increase in capex for the material as a direct impact of the tariffs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E8" dT="2025-04-03T05:34:25.90" personId="{FCC2AD63-B9C2-44A9-A565-4556D3044BD2}" id="{CD76D2A9-B172-4AC7-A0F0-F9C0E21E9A86}">
    <text>Asset category, see Core Inputs Interface for a further defintions</text>
  </threadedComment>
  <threadedComment ref="AF8" dT="2025-04-03T05:32:14.12" personId="{FCC2AD63-B9C2-44A9-A565-4556D3044BD2}" id="{5583B7B3-62A8-45B2-86A2-1F434F339585}">
    <text>Construction material</text>
  </threadedComment>
  <threadedComment ref="AG8" dT="2025-04-03T05:32:31.49" personId="{FCC2AD63-B9C2-44A9-A565-4556D3044BD2}" id="{329C6EC5-D5AC-4C77-8B25-5DAEC1A95F51}">
    <text>Fiscal Year (FY)</text>
  </threadedComment>
  <threadedComment ref="AH8" dT="2025-04-14T05:14:41.03" personId="{FCC2AD63-B9C2-44A9-A565-4556D3044BD2}" id="{D1FB6C07-6B3B-4869-BD32-C70DFCDA10B0}">
    <text>Total capex for the Asset Category (i.e. Roads)</text>
  </threadedComment>
  <threadedComment ref="AI8" dT="2025-04-03T05:32:59.77" personId="{FCC2AD63-B9C2-44A9-A565-4556D3044BD2}" id="{967AB241-5FDE-41AE-976B-3A93B784BE73}">
    <text>The material's share of Capex for the Asset</text>
  </threadedComment>
  <threadedComment ref="AJ8" dT="2025-04-03T05:37:13.69" personId="{FCC2AD63-B9C2-44A9-A565-4556D3044BD2}" id="{F61291A8-3BCB-4F1E-A375-1F29A8CD4896}">
    <text>Share of demand imported from the US</text>
  </threadedComment>
  <threadedComment ref="AK8" dT="2025-04-03T05:33:52.10" personId="{FCC2AD63-B9C2-44A9-A565-4556D3044BD2}" id="{B8D75990-BD6A-4DCD-BA68-89523C08706F}">
    <text>Difference between Wholesale price and Retail price</text>
  </threadedComment>
  <threadedComment ref="AL8" dT="2025-04-03T05:35:21.71" personId="{FCC2AD63-B9C2-44A9-A565-4556D3044BD2}" id="{88DE23A6-62B2-4803-B58B-08CC96C70005}">
    <text>Local import tariff rate for the specified material</text>
  </threadedComment>
  <threadedComment ref="AM8" dT="2025-04-03T05:35:48.71" personId="{FCC2AD63-B9C2-44A9-A565-4556D3044BD2}" id="{645AA59E-7F7A-4EEA-934D-1B9914E0B17D}">
    <text>Direct increase in cost as a result of the tariff</text>
  </threadedComment>
  <threadedComment ref="AN8" dT="2025-04-03T05:36:14.07" personId="{FCC2AD63-B9C2-44A9-A565-4556D3044BD2}" id="{66D400A3-F4DC-4D11-BB88-8C7CDECDC7CA}">
    <text>Assumed pre-tariff Capex</text>
  </threadedComment>
  <threadedComment ref="AO8" dT="2025-04-03T05:36:47.22" personId="{FCC2AD63-B9C2-44A9-A565-4556D3044BD2}" id="{0500D34D-E059-457D-89AD-E80604C282F5}">
    <text>Relative increase in capex for the material as a direct impact of the tariffs</text>
  </threadedComment>
  <threadedComment ref="AT8" dT="2025-04-03T05:34:25.90" personId="{FCC2AD63-B9C2-44A9-A565-4556D3044BD2}" id="{19EA9810-3B55-4BB2-9AB9-C24A55993B58}">
    <text>Asset category, see Core Inputs Interface for a further defintions</text>
  </threadedComment>
  <threadedComment ref="AT26" dT="2025-04-03T05:34:25.90" personId="{FCC2AD63-B9C2-44A9-A565-4556D3044BD2}" id="{47331CB9-20E4-4003-9B12-66852D9FED7D}">
    <text>Asset category, see Core Inputs Interface for a further defintions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crook@oxfordeconomics.com" TargetMode="External"/><Relationship Id="rId1" Type="http://schemas.openxmlformats.org/officeDocument/2006/relationships/hyperlink" Target="mailto:knesbitt@amo.on.ca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anada.ca/en/department-finance/programs/international-trade-finance-policy/canadas-response-us-tariffs.html" TargetMode="Externa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5E74F-8B3C-4CAE-8C05-7EFC7B7FE1B8}">
  <sheetPr codeName="Sheet1">
    <pageSetUpPr autoPageBreaks="0"/>
  </sheetPr>
  <dimension ref="A1:D41"/>
  <sheetViews>
    <sheetView showGridLines="0" tabSelected="1" topLeftCell="A18" zoomScaleNormal="100" workbookViewId="0"/>
  </sheetViews>
  <sheetFormatPr defaultColWidth="7.5546875" defaultRowHeight="13.8" zeroHeight="1"/>
  <cols>
    <col min="1" max="1" width="1.6640625" style="3" customWidth="1"/>
    <col min="2" max="2" width="28.44140625" style="3" customWidth="1"/>
    <col min="3" max="3" width="31.33203125" style="3" customWidth="1"/>
    <col min="4" max="4" width="107.6640625" style="3" bestFit="1" customWidth="1"/>
    <col min="5" max="16384" width="7.5546875" style="3"/>
  </cols>
  <sheetData>
    <row r="1" spans="2:4"/>
    <row r="2" spans="2:4">
      <c r="D2" s="4"/>
    </row>
    <row r="3" spans="2:4"/>
    <row r="4" spans="2:4"/>
    <row r="5" spans="2:4"/>
    <row r="6" spans="2:4"/>
    <row r="7" spans="2:4"/>
    <row r="8" spans="2:4">
      <c r="B8" s="48" t="s">
        <v>0</v>
      </c>
      <c r="C8" s="48"/>
      <c r="D8" s="48"/>
    </row>
    <row r="9" spans="2:4"/>
    <row r="10" spans="2:4"/>
    <row r="11" spans="2:4"/>
    <row r="12" spans="2:4"/>
    <row r="13" spans="2:4"/>
    <row r="14" spans="2:4"/>
    <row r="15" spans="2:4"/>
    <row r="16" spans="2:4"/>
    <row r="17" spans="1:4" ht="14.4">
      <c r="B17" s="5"/>
    </row>
    <row r="18" spans="1:4"/>
    <row r="19" spans="1:4"/>
    <row r="20" spans="1:4"/>
    <row r="21" spans="1:4" s="2" customFormat="1" ht="24.75" customHeight="1">
      <c r="B21" s="1" t="s">
        <v>1</v>
      </c>
      <c r="C21" s="1"/>
    </row>
    <row r="22" spans="1:4" s="5" customFormat="1" ht="15" thickBot="1">
      <c r="B22" s="186" t="s">
        <v>2</v>
      </c>
      <c r="C22" s="186" t="s">
        <v>3</v>
      </c>
      <c r="D22" s="186" t="s">
        <v>4</v>
      </c>
    </row>
    <row r="23" spans="1:4" s="5" customFormat="1" ht="14.4">
      <c r="A23" s="187" t="str" cm="1">
        <f t="array" aca="1" ref="A23" ca="1">_xlfn.TEXTAFTER(CELL("filename",'Inputs &gt;&gt;&gt;'!A1),"]")</f>
        <v>Inputs &gt;&gt;&gt;</v>
      </c>
      <c r="B23" s="188" t="str">
        <f ca="1" xml:space="preserve"> HYPERLINK("#'" &amp; A23 &amp; "'!A1",A23)</f>
        <v>Inputs &gt;&gt;&gt;</v>
      </c>
    </row>
    <row r="24" spans="1:4" s="5" customFormat="1" ht="14.4">
      <c r="A24" s="187" t="str" cm="1">
        <f t="array" aca="1" ref="A24" ca="1">_xlfn.TEXTAFTER(CELL("filename",'Core Inputs Interface'!B1),"]")</f>
        <v>Core Inputs Interface</v>
      </c>
      <c r="B24" s="5" t="s">
        <v>5</v>
      </c>
      <c r="C24" s="188" t="str">
        <f ca="1">HYPERLINK("#'" &amp; A24 &amp; "'!A1", A24)</f>
        <v>Core Inputs Interface</v>
      </c>
      <c r="D24" s="189" t="str" cm="1">
        <f t="array" aca="1" ref="D24" ca="1">INDIRECT("'" &amp; C24 &amp; "'!B2")</f>
        <v>Input planned Capex spending by asset category and local tariff rates</v>
      </c>
    </row>
    <row r="25" spans="1:4" s="5" customFormat="1" ht="14.4">
      <c r="A25" s="187" t="str" cm="1">
        <f t="array" aca="1" ref="A25" ca="1">_xlfn.TEXTAFTER(CELL("filename",'Optional Project-Level Input'!$B$1),"]")</f>
        <v>Optional Project-Level Input</v>
      </c>
      <c r="B25" s="5" t="s">
        <v>5</v>
      </c>
      <c r="C25" s="188" t="str">
        <f ca="1">HYPERLINK("#'" &amp; A25 &amp; "'!A1", A25)</f>
        <v>Optional Project-Level Input</v>
      </c>
      <c r="D25" s="189" t="str" cm="1">
        <f t="array" aca="1" ref="D25" ca="1">INDIRECT("'" &amp; C25 &amp; "'!B2")</f>
        <v>Additionally, if you'd like to customize your input with project-level details, fill out the table below — this is entirely optional.</v>
      </c>
    </row>
    <row r="26" spans="1:4" s="5" customFormat="1" ht="14.4">
      <c r="A26" s="187" t="str" cm="1">
        <f t="array" aca="1" ref="A26" ca="1">_xlfn.TEXTAFTER(CELL("filename",Glossary!$B$1),"]")</f>
        <v>Glossary</v>
      </c>
      <c r="B26" s="5" t="s">
        <v>5</v>
      </c>
      <c r="C26" s="188" t="str">
        <f ca="1">HYPERLINK("#'" &amp; A26 &amp; "'!A1", A26)</f>
        <v>Glossary</v>
      </c>
      <c r="D26" s="189" t="str" cm="1">
        <f t="array" aca="1" ref="D26" ca="1">INDIRECT("'" &amp; C26 &amp; "'!B2")</f>
        <v xml:space="preserve">A consolidated list of descriptions for terms and categories used throughout the tool </v>
      </c>
    </row>
    <row r="27" spans="1:4" s="5" customFormat="1" ht="14.4">
      <c r="A27" s="187" t="str" cm="1">
        <f t="array" aca="1" ref="A27" ca="1">_xlfn.TEXTAFTER(CELL("filename",'Outputs &gt;&gt;&gt;'!A1),"]")</f>
        <v>Outputs &gt;&gt;&gt;</v>
      </c>
      <c r="B27" s="188" t="str">
        <f ca="1" xml:space="preserve"> HYPERLINK("#'" &amp; A27 &amp; "'!A1",A27)</f>
        <v>Outputs &gt;&gt;&gt;</v>
      </c>
      <c r="D27" s="189"/>
    </row>
    <row r="28" spans="1:4" s="5" customFormat="1" ht="14.4">
      <c r="A28" s="187" t="str" cm="1">
        <f t="array" aca="1" ref="A28" ca="1">_xlfn.TEXTAFTER(CELL("filename",Summary!B1),"]")</f>
        <v>Summary</v>
      </c>
      <c r="B28" s="5" t="s">
        <v>5</v>
      </c>
      <c r="C28" s="188" t="str">
        <f t="shared" ref="C28:C29" ca="1" si="0">HYPERLINK("#'" &amp; A28 &amp; "'!A1", A28)</f>
        <v>Summary</v>
      </c>
      <c r="D28" s="189" t="str" cm="1">
        <f t="array" aca="1" ref="D28" ca="1">INDIRECT("'" &amp; C28 &amp; "'!B2")</f>
        <v>Estimated tariff impact by asset and material type</v>
      </c>
    </row>
    <row r="29" spans="1:4" s="5" customFormat="1" ht="14.4">
      <c r="A29" s="187" t="str" cm="1">
        <f t="array" aca="1" ref="A29" ca="1">_xlfn.TEXTAFTER(CELL("filename",'Detailed Breakdown'!B1),"]")</f>
        <v>Detailed Breakdown</v>
      </c>
      <c r="B29" s="5" t="s">
        <v>5</v>
      </c>
      <c r="C29" s="188" t="str">
        <f t="shared" ca="1" si="0"/>
        <v>Detailed Breakdown</v>
      </c>
      <c r="D29" s="189" t="str" cm="1">
        <f t="array" aca="1" ref="D29" ca="1">INDIRECT("'" &amp; C29 &amp; "'!B2")</f>
        <v>Detailed breakdown of estimated tariff impact by asset and material type</v>
      </c>
    </row>
    <row r="30" spans="1:4" s="5" customFormat="1" ht="14.4">
      <c r="A30" s="187" t="str" cm="1">
        <f t="array" aca="1" ref="A30" ca="1">_xlfn.TEXTAFTER(CELL("filename",'Downloadable Outputs'!A1),"]")</f>
        <v>Downloadable Outputs</v>
      </c>
      <c r="B30" s="5" t="s">
        <v>5</v>
      </c>
      <c r="C30" s="188" t="str">
        <f t="shared" ref="C30" ca="1" si="1">HYPERLINK("#'" &amp; A30 &amp; "'!A1", A30)</f>
        <v>Downloadable Outputs</v>
      </c>
      <c r="D30" s="189" t="str" cm="1">
        <f t="array" aca="1" ref="D30" ca="1">INDIRECT("'" &amp; C30 &amp; "'!B2")</f>
        <v>A machine readable output table that can be imported into other visualisations or software packages</v>
      </c>
    </row>
    <row r="31" spans="1:4" s="5" customFormat="1" ht="14.4">
      <c r="A31" s="187" t="str" cm="1">
        <f t="array" aca="1" ref="A31" ca="1">_xlfn.TEXTAFTER(CELL("filename",'Model &gt;&gt;&gt;'!A1),"]")</f>
        <v>Model &gt;&gt;&gt;</v>
      </c>
      <c r="B31" s="188" t="str">
        <f ca="1" xml:space="preserve"> HYPERLINK("#'" &amp; A31 &amp; "'!A1",A31)</f>
        <v>Model &gt;&gt;&gt;</v>
      </c>
      <c r="D31" s="189"/>
    </row>
    <row r="32" spans="1:4" s="5" customFormat="1" ht="14.4">
      <c r="A32" s="187" t="str" cm="1">
        <f t="array" aca="1" ref="A32" ca="1">_xlfn.TEXTAFTER(CELL("filename",'Model Calcuations'!B1),"]")</f>
        <v>Model Calcuations</v>
      </c>
      <c r="B32" s="5" t="s">
        <v>5</v>
      </c>
      <c r="C32" s="188" t="str">
        <f t="shared" ref="C32" ca="1" si="2">HYPERLINK("#'" &amp; A32 &amp; "'!A1", A32)</f>
        <v>Model Calcuations</v>
      </c>
      <c r="D32" s="189" t="str" cm="1">
        <f t="array" aca="1" ref="D32" ca="1">INDIRECT("'" &amp; C32 &amp; "'!B2")</f>
        <v>This sheet features all calculations used to estimate all outputs</v>
      </c>
    </row>
    <row r="33" spans="2:4" s="5" customFormat="1" ht="14.4"/>
    <row r="34" spans="2:4" s="5" customFormat="1" ht="14.4"/>
    <row r="35" spans="2:4" s="5" customFormat="1" ht="14.4">
      <c r="B35" s="6" t="s">
        <v>6</v>
      </c>
      <c r="D35" s="6" t="s">
        <v>10</v>
      </c>
    </row>
    <row r="36" spans="2:4" s="5" customFormat="1" ht="14.4">
      <c r="B36" s="190" t="s">
        <v>7</v>
      </c>
      <c r="D36" s="190" t="s">
        <v>11</v>
      </c>
    </row>
    <row r="37" spans="2:4" s="5" customFormat="1" ht="14.4">
      <c r="B37" s="5" t="s">
        <v>8</v>
      </c>
      <c r="D37" s="5" t="s">
        <v>12</v>
      </c>
    </row>
    <row r="38" spans="2:4" s="5" customFormat="1" ht="14.4">
      <c r="B38" s="191" t="s">
        <v>9</v>
      </c>
      <c r="D38" s="191" t="s">
        <v>13</v>
      </c>
    </row>
    <row r="39" spans="2:4">
      <c r="B39" s="7"/>
      <c r="C39" s="7"/>
      <c r="D39" s="7"/>
    </row>
    <row r="40" spans="2:4">
      <c r="B40" s="3" t="s">
        <v>14</v>
      </c>
    </row>
    <row r="41" spans="2:4"/>
  </sheetData>
  <hyperlinks>
    <hyperlink ref="B38" r:id="rId1" xr:uid="{12E22F64-ABA7-4C96-8D2A-0073D0DE4CFC}"/>
    <hyperlink ref="A27" location="'Read Me'!A1" display="Read Me" xr:uid="{60AC31DD-7424-44E5-B6DC-B5EDB3D17539}"/>
    <hyperlink ref="D38" r:id="rId2" xr:uid="{1E94A522-623C-4A4B-A32F-36CE6E594D83}"/>
    <hyperlink ref="A31" location="'Read Me'!A1" display="Read Me" xr:uid="{CD51DE10-446D-42DA-8311-0E301DD8040A}"/>
  </hyperlinks>
  <pageMargins left="0.25" right="0.25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048D6-03C6-4EE3-B0B2-07D7939BEC26}">
  <sheetPr codeName="Sheet9">
    <tabColor theme="1"/>
  </sheetPr>
  <dimension ref="A1:A2"/>
  <sheetViews>
    <sheetView workbookViewId="0"/>
  </sheetViews>
  <sheetFormatPr defaultColWidth="7.6640625" defaultRowHeight="13.8"/>
  <cols>
    <col min="1" max="16384" width="7.6640625" style="9"/>
  </cols>
  <sheetData>
    <row r="1" spans="1:1">
      <c r="A1" s="8" t="s">
        <v>15</v>
      </c>
    </row>
    <row r="2" spans="1:1">
      <c r="A2" s="10" t="str" cm="1">
        <f t="array" aca="1" ref="A2" ca="1" xml:space="preserve"> HYPERLINK("#'" &amp; _xlfn.TEXTAFTER(CELL("filename",'Home Page'!$A$1),"]") &amp; "'!A1","Back to Home Page")</f>
        <v>Back to Home Page</v>
      </c>
    </row>
  </sheetData>
  <pageMargins left="0.7" right="0.7" top="0.75" bottom="0.75" header="0.3" footer="0.3"/>
  <pageSetup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B4635-CBB4-47E7-8526-012AEE95B453}">
  <sheetPr codeName="Sheet10"/>
  <dimension ref="B1:IM580"/>
  <sheetViews>
    <sheetView showGridLines="0" topLeftCell="HH1" zoomScaleNormal="100" workbookViewId="0">
      <selection activeCell="EY11" sqref="EY11"/>
    </sheetView>
  </sheetViews>
  <sheetFormatPr defaultColWidth="9.109375" defaultRowHeight="14.4" outlineLevelCol="1"/>
  <cols>
    <col min="1" max="1" width="1.6640625" customWidth="1"/>
    <col min="2" max="3" width="5.109375" customWidth="1"/>
    <col min="4" max="4" width="3.6640625" customWidth="1" outlineLevel="1"/>
    <col min="5" max="5" width="23.44140625" customWidth="1" outlineLevel="1"/>
    <col min="6" max="8" width="20.109375" customWidth="1" outlineLevel="1"/>
    <col min="9" max="9" width="16.44140625" customWidth="1" outlineLevel="1"/>
    <col min="10" max="10" width="6.88671875" customWidth="1" outlineLevel="1"/>
    <col min="11" max="11" width="17.44140625" customWidth="1" outlineLevel="1"/>
    <col min="12" max="12" width="15.109375" customWidth="1" outlineLevel="1"/>
    <col min="13" max="13" width="13.44140625" customWidth="1" outlineLevel="1"/>
    <col min="14" max="14" width="21.5546875" customWidth="1" outlineLevel="1"/>
    <col min="15" max="15" width="8.5546875" customWidth="1" outlineLevel="1"/>
    <col min="16" max="16" width="22.6640625" customWidth="1" outlineLevel="1"/>
    <col min="17" max="17" width="20.6640625" customWidth="1" outlineLevel="1"/>
    <col min="18" max="18" width="9.109375" customWidth="1" outlineLevel="1"/>
    <col min="19" max="19" width="3.6640625" customWidth="1" outlineLevel="1"/>
    <col min="20" max="20" width="23.33203125" customWidth="1" outlineLevel="1"/>
    <col min="21" max="22" width="9.109375" customWidth="1" outlineLevel="1"/>
    <col min="23" max="23" width="3.6640625" customWidth="1" outlineLevel="1"/>
    <col min="24" max="24" width="23.33203125" customWidth="1" outlineLevel="1"/>
    <col min="25" max="25" width="8.6640625" customWidth="1" outlineLevel="1"/>
    <col min="26" max="27" width="5.109375" customWidth="1" outlineLevel="1"/>
    <col min="28" max="28" width="9.109375" customWidth="1"/>
    <col min="29" max="29" width="4.33203125" bestFit="1" customWidth="1"/>
    <col min="30" max="30" width="3.109375" customWidth="1" outlineLevel="1"/>
    <col min="31" max="31" width="37.5546875" customWidth="1" outlineLevel="1"/>
    <col min="32" max="32" width="23.33203125" customWidth="1" outlineLevel="1"/>
    <col min="33" max="33" width="6" customWidth="1" outlineLevel="1"/>
    <col min="34" max="34" width="20" style="96" customWidth="1" outlineLevel="1"/>
    <col min="35" max="35" width="6" customWidth="1" outlineLevel="1"/>
    <col min="36" max="36" width="9.109375" customWidth="1" outlineLevel="1"/>
    <col min="37" max="37" width="8.109375" customWidth="1" outlineLevel="1"/>
    <col min="38" max="38" width="5.6640625" customWidth="1" outlineLevel="1"/>
    <col min="39" max="39" width="12.5546875" customWidth="1" outlineLevel="1"/>
    <col min="40" max="40" width="15.33203125" customWidth="1" outlineLevel="1"/>
    <col min="41" max="41" width="10.44140625" customWidth="1" outlineLevel="1"/>
    <col min="42" max="42" width="41.6640625" customWidth="1" outlineLevel="1"/>
    <col min="43" max="43" width="26.109375" customWidth="1" outlineLevel="1"/>
    <col min="44" max="44" width="9.109375" customWidth="1"/>
    <col min="45" max="45" width="4.33203125" bestFit="1" customWidth="1"/>
    <col min="46" max="46" width="37.5546875" customWidth="1" outlineLevel="1"/>
    <col min="47" max="48" width="6.5546875" customWidth="1" outlineLevel="1"/>
    <col min="49" max="49" width="7.5546875" customWidth="1" outlineLevel="1"/>
    <col min="50" max="51" width="9.109375" customWidth="1" outlineLevel="1"/>
    <col min="52" max="52" width="8.44140625" customWidth="1" outlineLevel="1"/>
    <col min="53" max="53" width="20.88671875" customWidth="1" outlineLevel="1"/>
    <col min="54" max="54" width="33.88671875" customWidth="1" outlineLevel="1"/>
    <col min="55" max="55" width="22.109375" customWidth="1" outlineLevel="1"/>
    <col min="56" max="56" width="14.33203125" customWidth="1" outlineLevel="1"/>
    <col min="57" max="57" width="13.44140625" customWidth="1" outlineLevel="1"/>
    <col min="58" max="58" width="18" customWidth="1" outlineLevel="1"/>
    <col min="59" max="59" width="33.33203125" customWidth="1" outlineLevel="1"/>
    <col min="60" max="60" width="37.5546875" customWidth="1" outlineLevel="1"/>
    <col min="61" max="61" width="25" customWidth="1" outlineLevel="1"/>
    <col min="62" max="62" width="15.5546875" customWidth="1" outlineLevel="1"/>
    <col min="63" max="63" width="23.33203125" customWidth="1" outlineLevel="1"/>
    <col min="64" max="64" width="33.88671875" customWidth="1" outlineLevel="1"/>
    <col min="65" max="65" width="22.109375" customWidth="1" outlineLevel="1"/>
    <col min="66" max="66" width="15.5546875" customWidth="1" outlineLevel="1"/>
    <col min="67" max="67" width="33.88671875" customWidth="1" outlineLevel="1"/>
    <col min="68" max="68" width="22.109375" customWidth="1" outlineLevel="1"/>
    <col min="69" max="69" width="33.33203125" customWidth="1" outlineLevel="1"/>
    <col min="70" max="70" width="37.5546875" customWidth="1" outlineLevel="1"/>
    <col min="71" max="71" width="25" customWidth="1" outlineLevel="1"/>
    <col min="72" max="72" width="33.33203125" customWidth="1" outlineLevel="1"/>
    <col min="73" max="73" width="37.5546875" customWidth="1" outlineLevel="1"/>
    <col min="74" max="74" width="25" customWidth="1" outlineLevel="1"/>
    <col min="75" max="75" width="15.5546875" customWidth="1" outlineLevel="1"/>
    <col min="76" max="76" width="23.33203125" customWidth="1" outlineLevel="1"/>
    <col min="77" max="77" width="21.33203125" customWidth="1" outlineLevel="1"/>
    <col min="78" max="78" width="22.6640625" customWidth="1" outlineLevel="1"/>
    <col min="79" max="79" width="20.6640625" customWidth="1" outlineLevel="1"/>
    <col min="80" max="80" width="6.5546875" customWidth="1" outlineLevel="1"/>
    <col min="81" max="81" width="17.5546875" customWidth="1" outlineLevel="1"/>
    <col min="82" max="82" width="16.5546875" customWidth="1" outlineLevel="1"/>
    <col min="83" max="83" width="8" customWidth="1" outlineLevel="1"/>
    <col min="84" max="84" width="20.44140625" customWidth="1" outlineLevel="1"/>
    <col min="85" max="85" width="15.5546875" customWidth="1" outlineLevel="1"/>
    <col min="86" max="86" width="16.5546875" customWidth="1" outlineLevel="1"/>
    <col min="87" max="87" width="9" customWidth="1" outlineLevel="1"/>
    <col min="88" max="88" width="19" customWidth="1" outlineLevel="1"/>
    <col min="89" max="89" width="15.5546875" customWidth="1" outlineLevel="1"/>
    <col min="90" max="90" width="6.5546875" customWidth="1" outlineLevel="1"/>
    <col min="91" max="91" width="9" customWidth="1" outlineLevel="1"/>
    <col min="92" max="105" width="8.88671875" customWidth="1" outlineLevel="1"/>
    <col min="106" max="117" width="7.109375" customWidth="1" outlineLevel="1"/>
    <col min="118" max="118" width="7.109375" customWidth="1"/>
    <col min="119" max="119" width="4.33203125" bestFit="1" customWidth="1"/>
    <col min="120" max="120" width="3.109375" customWidth="1" outlineLevel="1"/>
    <col min="121" max="121" width="37.5546875" customWidth="1" outlineLevel="1"/>
    <col min="122" max="122" width="25.5546875" customWidth="1" outlineLevel="1"/>
    <col min="123" max="124" width="5" customWidth="1" outlineLevel="1"/>
    <col min="125" max="125" width="11" customWidth="1" outlineLevel="1"/>
    <col min="126" max="126" width="37.5546875" customWidth="1" outlineLevel="1"/>
    <col min="127" max="127" width="12.6640625" customWidth="1" outlineLevel="1"/>
    <col min="128" max="128" width="6" customWidth="1" outlineLevel="1"/>
    <col min="129" max="129" width="3.109375" customWidth="1" outlineLevel="1"/>
    <col min="130" max="130" width="10.33203125" customWidth="1" outlineLevel="1"/>
    <col min="131" max="131" width="41.44140625" customWidth="1" outlineLevel="1"/>
    <col min="132" max="132" width="32.5546875" style="218" customWidth="1" outlineLevel="1"/>
    <col min="133" max="133" width="33.88671875" customWidth="1" outlineLevel="1"/>
    <col min="134" max="134" width="33.44140625" customWidth="1" outlineLevel="1"/>
    <col min="135" max="135" width="195.109375" customWidth="1" outlineLevel="1"/>
    <col min="136" max="136" width="9.88671875" customWidth="1"/>
    <col min="137" max="137" width="4.33203125" bestFit="1" customWidth="1"/>
    <col min="138" max="138" width="25" customWidth="1" outlineLevel="1"/>
    <col min="139" max="139" width="26.5546875" customWidth="1" outlineLevel="1"/>
    <col min="140" max="140" width="7.6640625" customWidth="1" outlineLevel="1"/>
    <col min="141" max="141" width="11.6640625" customWidth="1" outlineLevel="1"/>
    <col min="142" max="142" width="7.109375" customWidth="1" outlineLevel="1"/>
    <col min="143" max="143" width="9.109375" customWidth="1" outlineLevel="1"/>
    <col min="144" max="144" width="8.109375" customWidth="1" outlineLevel="1"/>
    <col min="145" max="145" width="7.109375" customWidth="1" outlineLevel="1"/>
    <col min="146" max="146" width="7" style="68" customWidth="1" outlineLevel="1"/>
    <col min="147" max="147" width="14.5546875" customWidth="1" outlineLevel="1"/>
    <col min="148" max="148" width="10.44140625" customWidth="1" outlineLevel="1"/>
    <col min="149" max="149" width="26.109375" customWidth="1" outlineLevel="1"/>
    <col min="150" max="150" width="9.109375" customWidth="1" outlineLevel="1"/>
    <col min="151" max="151" width="13.33203125" customWidth="1" outlineLevel="1"/>
    <col min="152" max="152" width="11.33203125" style="17" customWidth="1" outlineLevel="1"/>
    <col min="153" max="154" width="9.109375" customWidth="1" outlineLevel="1"/>
    <col min="155" max="156" width="7.109375" customWidth="1" outlineLevel="1"/>
    <col min="157" max="157" width="9.109375" customWidth="1" outlineLevel="1"/>
    <col min="158" max="158" width="8.109375" customWidth="1" outlineLevel="1"/>
    <col min="159" max="160" width="7.5546875" customWidth="1" outlineLevel="1"/>
    <col min="161" max="166" width="7.109375" customWidth="1" outlineLevel="1"/>
    <col min="167" max="167" width="9.109375" customWidth="1"/>
    <col min="168" max="168" width="4.33203125" bestFit="1" customWidth="1"/>
    <col min="169" max="169" width="41.44140625" customWidth="1" outlineLevel="1"/>
    <col min="170" max="170" width="32.5546875" style="17" customWidth="1" outlineLevel="1"/>
    <col min="171" max="171" width="20.44140625" customWidth="1" outlineLevel="1"/>
    <col min="172" max="172" width="9.109375" customWidth="1" outlineLevel="1"/>
    <col min="173" max="173" width="13.6640625" customWidth="1" outlineLevel="1"/>
    <col min="174" max="174" width="3.109375" customWidth="1" outlineLevel="1"/>
    <col min="175" max="175" width="20.88671875" customWidth="1" outlineLevel="1"/>
    <col min="176" max="176" width="58.33203125" customWidth="1" outlineLevel="1"/>
    <col min="177" max="177" width="92.109375" customWidth="1" outlineLevel="1"/>
    <col min="178" max="178" width="9.109375" customWidth="1"/>
    <col min="179" max="179" width="3.6640625" bestFit="1" customWidth="1"/>
    <col min="180" max="180" width="19.88671875" customWidth="1" outlineLevel="1"/>
    <col min="181" max="181" width="5" customWidth="1" outlineLevel="1"/>
    <col min="182" max="182" width="6.109375" customWidth="1" outlineLevel="1"/>
    <col min="183" max="183" width="35.5546875" customWidth="1" outlineLevel="1"/>
    <col min="185" max="185" width="3.6640625" bestFit="1" customWidth="1"/>
    <col min="186" max="186" width="19.88671875" customWidth="1" outlineLevel="1"/>
    <col min="187" max="187" width="28.33203125" customWidth="1" outlineLevel="1"/>
    <col min="188" max="191" width="8.88671875" customWidth="1" outlineLevel="1"/>
    <col min="192" max="193" width="9.88671875" customWidth="1" outlineLevel="1"/>
    <col min="194" max="194" width="18.6640625" customWidth="1" outlineLevel="1"/>
    <col min="195" max="195" width="8.109375" customWidth="1" outlineLevel="1"/>
    <col min="196" max="197" width="7" customWidth="1" outlineLevel="1"/>
    <col min="198" max="199" width="7.109375" customWidth="1" outlineLevel="1"/>
    <col min="200" max="200" width="10.5546875" customWidth="1" outlineLevel="1"/>
    <col min="201" max="201" width="7" customWidth="1" outlineLevel="1"/>
    <col min="202" max="203" width="19.88671875" customWidth="1" outlineLevel="1"/>
    <col min="204" max="204" width="9.109375" customWidth="1" outlineLevel="1"/>
    <col min="205" max="205" width="19.88671875" customWidth="1" outlineLevel="1"/>
    <col min="206" max="206" width="11.33203125" customWidth="1" outlineLevel="1"/>
    <col min="208" max="208" width="3.6640625" bestFit="1" customWidth="1"/>
    <col min="209" max="209" width="19.88671875" customWidth="1" outlineLevel="1"/>
    <col min="210" max="210" width="13.88671875" customWidth="1" outlineLevel="1"/>
    <col min="211" max="211" width="18.6640625" customWidth="1" outlineLevel="1"/>
    <col min="212" max="212" width="8.109375" customWidth="1" outlineLevel="1"/>
    <col min="213" max="214" width="7" customWidth="1" outlineLevel="1"/>
    <col min="215" max="216" width="6" customWidth="1" outlineLevel="1"/>
    <col min="217" max="218" width="5.109375" customWidth="1" outlineLevel="1"/>
    <col min="219" max="220" width="5" customWidth="1" outlineLevel="1"/>
    <col min="222" max="222" width="3.6640625" bestFit="1" customWidth="1"/>
    <col min="223" max="223" width="41.44140625" customWidth="1" outlineLevel="1"/>
    <col min="224" max="224" width="28.33203125" customWidth="1" outlineLevel="1"/>
    <col min="225" max="225" width="19.44140625" customWidth="1" outlineLevel="1"/>
    <col min="226" max="226" width="9.109375" customWidth="1" outlineLevel="1"/>
    <col min="227" max="227" width="10.88671875" customWidth="1" outlineLevel="1"/>
    <col min="228" max="228" width="5.88671875" customWidth="1" outlineLevel="1"/>
    <col min="229" max="229" width="19.44140625" customWidth="1" outlineLevel="1"/>
    <col min="230" max="230" width="62.44140625" customWidth="1" outlineLevel="1"/>
    <col min="231" max="231" width="94.44140625" customWidth="1" outlineLevel="1"/>
    <col min="233" max="233" width="3.6640625" bestFit="1" customWidth="1"/>
    <col min="234" max="234" width="26.5546875" customWidth="1" outlineLevel="1"/>
    <col min="235" max="235" width="19.88671875" customWidth="1" outlineLevel="1"/>
    <col min="236" max="236" width="6" style="225" customWidth="1" outlineLevel="1"/>
    <col min="237" max="237" width="18.109375" style="202" customWidth="1" outlineLevel="1"/>
    <col min="238" max="238" width="6" style="74" customWidth="1" outlineLevel="1"/>
    <col min="239" max="239" width="9.109375" style="74" customWidth="1" outlineLevel="1"/>
    <col min="240" max="240" width="8.109375" style="74" customWidth="1" outlineLevel="1"/>
    <col min="241" max="241" width="5.6640625" style="74" customWidth="1" outlineLevel="1"/>
    <col min="242" max="242" width="9" style="201" customWidth="1" outlineLevel="1"/>
    <col min="243" max="243" width="14.5546875" style="202" customWidth="1" outlineLevel="1"/>
    <col min="244" max="244" width="10.44140625" style="231" customWidth="1" outlineLevel="1"/>
  </cols>
  <sheetData>
    <row r="1" spans="2:247" ht="36.6">
      <c r="B1" s="25" t="str" cm="1">
        <f t="array" aca="1" ref="B1" ca="1">_xlfn.TEXTAFTER(CELL("filename",B1),"]")</f>
        <v>Model Calcuations</v>
      </c>
      <c r="C1" s="25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7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216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91"/>
      <c r="EQ1" s="11"/>
      <c r="ER1" s="11"/>
      <c r="ES1" s="11"/>
      <c r="ET1" s="11"/>
      <c r="EU1" s="11"/>
      <c r="EV1" s="67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67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2:247" ht="15.6">
      <c r="B2" s="26" t="s">
        <v>147</v>
      </c>
      <c r="C2" s="26"/>
      <c r="D2" s="12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7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216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91"/>
      <c r="EQ2" s="11"/>
      <c r="ER2" s="11"/>
      <c r="ES2" s="11"/>
      <c r="ET2" s="11"/>
      <c r="EU2" s="11"/>
      <c r="EV2" s="67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67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</row>
    <row r="3" spans="2:247">
      <c r="B3" s="13"/>
      <c r="C3" s="13"/>
      <c r="D3" s="12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7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216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91"/>
      <c r="EQ3" s="11"/>
      <c r="ER3" s="11"/>
      <c r="ES3" s="11"/>
      <c r="ET3" s="11"/>
      <c r="EU3" s="11"/>
      <c r="EV3" s="67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67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</row>
    <row r="4" spans="2:247">
      <c r="B4" s="14" t="str" cm="1">
        <f t="array" aca="1" ref="B4" ca="1" xml:space="preserve"> HYPERLINK("#'" &amp; _xlfn.TEXTAFTER(CELL("filename",'Home Page'!$A$1),"]") &amp; "'!A1","Back to Home Page")</f>
        <v>Back to Home Page</v>
      </c>
      <c r="C4" s="14"/>
      <c r="D4" s="12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7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216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91"/>
      <c r="EQ4" s="11"/>
      <c r="ER4" s="11"/>
      <c r="ES4" s="11"/>
      <c r="ET4" s="11"/>
      <c r="EU4" s="11"/>
      <c r="EV4" s="67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67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</row>
    <row r="5" spans="2:247">
      <c r="B5" s="13"/>
      <c r="C5" s="13"/>
      <c r="D5" s="12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7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216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91"/>
      <c r="EQ5" s="11"/>
      <c r="ER5" s="11"/>
      <c r="ES5" s="11"/>
      <c r="ET5" s="11"/>
      <c r="EU5" s="11"/>
      <c r="EV5" s="67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67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</row>
    <row r="7" spans="2:247" ht="15.75" customHeight="1" thickBot="1">
      <c r="C7" s="281" t="s">
        <v>81</v>
      </c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54"/>
      <c r="X7" s="154"/>
      <c r="Y7" s="154"/>
      <c r="Z7" s="289"/>
      <c r="AA7" s="289"/>
      <c r="AC7" s="281" t="s">
        <v>82</v>
      </c>
      <c r="AD7" s="154"/>
      <c r="AE7" s="115"/>
      <c r="AF7" s="115"/>
      <c r="AG7" s="115"/>
      <c r="AH7" s="161"/>
      <c r="AI7" s="115"/>
      <c r="AJ7" s="115"/>
      <c r="AK7" s="115"/>
      <c r="AL7" s="115"/>
      <c r="AM7" s="115"/>
      <c r="AN7" s="115"/>
      <c r="AO7" s="115"/>
      <c r="AP7" s="154"/>
      <c r="AQ7" s="154"/>
      <c r="AS7" s="281" t="s">
        <v>83</v>
      </c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O7" s="281" t="s">
        <v>84</v>
      </c>
      <c r="DP7" s="115"/>
      <c r="DQ7" s="115" t="s">
        <v>85</v>
      </c>
      <c r="DR7" s="115"/>
      <c r="DS7" s="115"/>
      <c r="DT7" s="115"/>
      <c r="DU7" s="115"/>
      <c r="DV7" s="115" t="s">
        <v>86</v>
      </c>
      <c r="DW7" s="115"/>
      <c r="DX7" s="115"/>
      <c r="DY7" s="115"/>
      <c r="DZ7" s="115"/>
      <c r="EA7" s="115"/>
      <c r="EB7" s="217"/>
      <c r="EC7" s="115"/>
      <c r="ED7" s="115"/>
      <c r="EE7" s="115"/>
      <c r="EG7" s="281" t="s">
        <v>87</v>
      </c>
      <c r="EH7" s="115"/>
      <c r="EI7" s="115"/>
      <c r="EJ7" s="115"/>
      <c r="EK7" s="115"/>
      <c r="EL7" s="115"/>
      <c r="EM7" s="115"/>
      <c r="EN7" s="115"/>
      <c r="EO7" s="115"/>
      <c r="EP7" s="141"/>
      <c r="EQ7" s="115"/>
      <c r="ER7" s="115"/>
      <c r="ES7" s="115"/>
      <c r="ET7" s="115"/>
      <c r="EU7" s="115"/>
      <c r="EV7" s="116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L7" s="281" t="s">
        <v>88</v>
      </c>
      <c r="FM7" s="115"/>
      <c r="FN7" s="116"/>
      <c r="FO7" s="115"/>
      <c r="FP7" s="115"/>
      <c r="FQ7" s="115"/>
      <c r="FR7" s="115"/>
      <c r="FS7" s="115"/>
      <c r="FT7" s="115"/>
      <c r="FU7" s="115"/>
      <c r="FW7" s="281" t="s">
        <v>142</v>
      </c>
      <c r="FX7" s="115" t="s">
        <v>60</v>
      </c>
      <c r="FY7" s="116" t="s">
        <v>61</v>
      </c>
      <c r="FZ7" s="116" t="s">
        <v>123</v>
      </c>
      <c r="GA7" s="116" t="s">
        <v>132</v>
      </c>
      <c r="GC7" s="281" t="s">
        <v>143</v>
      </c>
      <c r="GD7" s="164"/>
      <c r="GE7" s="164"/>
      <c r="GF7" s="164"/>
      <c r="GG7" s="164"/>
      <c r="GH7" s="164"/>
      <c r="GI7" s="164"/>
      <c r="GJ7" s="164"/>
      <c r="GK7" s="164"/>
      <c r="GL7" s="165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5"/>
      <c r="GZ7" s="281" t="s">
        <v>144</v>
      </c>
      <c r="HA7" s="115"/>
      <c r="HB7" s="116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N7" s="281" t="s">
        <v>145</v>
      </c>
      <c r="HO7" s="115"/>
      <c r="HP7" s="116"/>
      <c r="HQ7" s="115"/>
      <c r="HR7" s="115"/>
      <c r="HS7" s="115"/>
      <c r="HT7" s="115"/>
      <c r="HU7" s="115"/>
      <c r="HV7" s="115"/>
      <c r="HW7" s="115"/>
      <c r="HY7" s="281" t="s">
        <v>146</v>
      </c>
      <c r="HZ7" s="115"/>
      <c r="IA7" s="115"/>
      <c r="IB7" s="215"/>
      <c r="IC7" s="215"/>
      <c r="ID7" s="227"/>
      <c r="IE7" s="227"/>
      <c r="IF7" s="227"/>
      <c r="IG7" s="227"/>
      <c r="IH7" s="213"/>
      <c r="II7" s="215"/>
      <c r="IJ7" s="232"/>
    </row>
    <row r="8" spans="2:247" s="16" customFormat="1" ht="29.4" thickBot="1">
      <c r="C8" s="281"/>
      <c r="D8" s="287" t="s">
        <v>89</v>
      </c>
      <c r="E8" s="156" t="s">
        <v>90</v>
      </c>
      <c r="F8" s="156" t="s">
        <v>47</v>
      </c>
      <c r="G8" s="156" t="s">
        <v>45</v>
      </c>
      <c r="H8" s="156" t="s">
        <v>43</v>
      </c>
      <c r="I8" s="156" t="s">
        <v>41</v>
      </c>
      <c r="J8" s="156" t="s">
        <v>31</v>
      </c>
      <c r="K8" s="156" t="s">
        <v>33</v>
      </c>
      <c r="L8" s="156" t="s">
        <v>35</v>
      </c>
      <c r="M8" s="156" t="s">
        <v>37</v>
      </c>
      <c r="N8" s="156" t="s">
        <v>39</v>
      </c>
      <c r="O8" s="156" t="s">
        <v>49</v>
      </c>
      <c r="P8" s="156" t="s">
        <v>51</v>
      </c>
      <c r="Q8" s="156" t="s">
        <v>53</v>
      </c>
      <c r="S8" s="287" t="s">
        <v>91</v>
      </c>
      <c r="T8" s="176"/>
      <c r="U8" s="176"/>
      <c r="W8" s="287" t="s">
        <v>92</v>
      </c>
      <c r="X8" s="158"/>
      <c r="Y8" s="158"/>
      <c r="Z8" s="286" t="s">
        <v>93</v>
      </c>
      <c r="AA8" s="286"/>
      <c r="AC8" s="281"/>
      <c r="AD8" s="147" t="s">
        <v>94</v>
      </c>
      <c r="AE8" s="162" t="s">
        <v>62</v>
      </c>
      <c r="AF8" s="162" t="s">
        <v>23</v>
      </c>
      <c r="AG8" s="163" t="s">
        <v>61</v>
      </c>
      <c r="AH8" s="163" t="s">
        <v>134</v>
      </c>
      <c r="AI8" s="163" t="s">
        <v>74</v>
      </c>
      <c r="AJ8" s="163" t="s">
        <v>75</v>
      </c>
      <c r="AK8" s="163" t="s">
        <v>59</v>
      </c>
      <c r="AL8" s="163" t="s">
        <v>58</v>
      </c>
      <c r="AM8" s="163" t="s">
        <v>72</v>
      </c>
      <c r="AN8" s="163" t="s">
        <v>64</v>
      </c>
      <c r="AO8" s="163" t="s">
        <v>80</v>
      </c>
      <c r="AP8" s="71" t="s">
        <v>96</v>
      </c>
      <c r="AQ8" s="71" t="s">
        <v>97</v>
      </c>
      <c r="AS8" s="281"/>
      <c r="AT8" s="147" t="s">
        <v>62</v>
      </c>
      <c r="AU8" s="153">
        <v>46082</v>
      </c>
      <c r="AV8" s="153">
        <v>46447</v>
      </c>
      <c r="AW8" s="153" t="s">
        <v>76</v>
      </c>
      <c r="AZ8" s="147" t="s">
        <v>62</v>
      </c>
      <c r="BA8" s="149" t="str" cm="1">
        <f t="array" aca="1" ref="BA8:BN8" ca="1">_xlfn.HSTACK(TRANSPOSE(_xlfn.SORTBY($AT$9:$AT$21,$AU$9:$AU$21,-1)),$AT$22)</f>
        <v>Roads</v>
      </c>
      <c r="BB8" s="149" t="str">
        <f ca="1"/>
        <v>Non-Residential Building</v>
      </c>
      <c r="BC8" s="149" t="str">
        <f ca="1"/>
        <v>Storm/Sanitary Sewers</v>
      </c>
      <c r="BD8" s="149" t="str">
        <f ca="1"/>
        <v>Vehicles</v>
      </c>
      <c r="BE8" s="149" t="str">
        <f ca="1"/>
        <v>Water assets</v>
      </c>
      <c r="BF8" s="149" t="str">
        <f ca="1"/>
        <v>New Fire Station on Main Street</v>
      </c>
      <c r="BG8" s="149" t="str">
        <f ca="1"/>
        <v>Bridges &amp; Culverts</v>
      </c>
      <c r="BH8" s="149" t="str">
        <f ca="1"/>
        <v>Residential Building - high density</v>
      </c>
      <c r="BI8" s="149" t="str">
        <f ca="1"/>
        <v>Residential Building - medium density</v>
      </c>
      <c r="BJ8" s="149" t="str">
        <f ca="1"/>
        <v>Residential Building - low density</v>
      </c>
      <c r="BK8" s="149" t="str">
        <f ca="1"/>
        <v>Other Transport</v>
      </c>
      <c r="BL8" s="149" t="str">
        <f ca="1"/>
        <v>Machinery &amp; Equipment</v>
      </c>
      <c r="BM8" s="149" t="str">
        <f ca="1"/>
        <v>Office Equipment &amp; IT</v>
      </c>
      <c r="BN8" s="149" t="str">
        <f ca="1"/>
        <v>Total</v>
      </c>
      <c r="BO8" s="149" t="str" cm="1">
        <f t="array" aca="1" ref="BO8:CB8" ca="1">_xlfn.HSTACK(TRANSPOSE(_xlfn.SORTBY($AT$9:$AT$21,$AV$9:$AV$21,-1)),$AT$22)</f>
        <v>Roads</v>
      </c>
      <c r="BP8" s="149" t="str">
        <f ca="1"/>
        <v>Non-Residential Building</v>
      </c>
      <c r="BQ8" s="149" t="str">
        <f ca="1"/>
        <v>Storm/Sanitary Sewers</v>
      </c>
      <c r="BR8" s="149" t="str">
        <f ca="1"/>
        <v>Vehicles</v>
      </c>
      <c r="BS8" s="149" t="str">
        <f ca="1"/>
        <v>Water assets</v>
      </c>
      <c r="BT8" s="149" t="str">
        <f ca="1"/>
        <v>New Fire Station on Main Street</v>
      </c>
      <c r="BU8" s="149" t="str">
        <f ca="1"/>
        <v>Bridges &amp; Culverts</v>
      </c>
      <c r="BV8" s="149" t="str">
        <f ca="1"/>
        <v>Residential Building - high density</v>
      </c>
      <c r="BW8" s="149" t="str">
        <f ca="1"/>
        <v>Residential Building - medium density</v>
      </c>
      <c r="BX8" s="149" t="str">
        <f ca="1"/>
        <v>Residential Building - low density</v>
      </c>
      <c r="BY8" s="149" t="str">
        <f ca="1"/>
        <v>Other Transport</v>
      </c>
      <c r="BZ8" s="149" t="str">
        <f ca="1"/>
        <v>Machinery &amp; Equipment</v>
      </c>
      <c r="CA8" s="149" t="str">
        <f ca="1"/>
        <v>Office Equipment &amp; IT</v>
      </c>
      <c r="CB8" s="149" t="str">
        <f ca="1"/>
        <v>Total</v>
      </c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O8" s="281"/>
      <c r="DP8" s="146" t="s">
        <v>94</v>
      </c>
      <c r="DQ8" s="146" t="s">
        <v>62</v>
      </c>
      <c r="DV8" s="146" t="s">
        <v>62</v>
      </c>
      <c r="DW8" s="146" t="s">
        <v>138</v>
      </c>
      <c r="DX8" s="146" t="s">
        <v>94</v>
      </c>
      <c r="EA8" s="145" t="s">
        <v>98</v>
      </c>
      <c r="EB8" s="214" t="str">
        <f>'Core Inputs Interface'!$C$7</f>
        <v>Combined Ontario Municipalities</v>
      </c>
      <c r="EC8"/>
      <c r="ED8"/>
      <c r="EE8"/>
      <c r="EF8" s="72"/>
      <c r="EG8" s="281"/>
      <c r="EH8" t="s">
        <v>99</v>
      </c>
      <c r="EI8" s="76" t="str">
        <f>'Detailed Breakdown'!C7</f>
        <v>Machinery &amp; Equipment</v>
      </c>
      <c r="EP8" s="92"/>
      <c r="EV8" s="95"/>
      <c r="FL8" s="281"/>
      <c r="FM8" s="145" t="s">
        <v>98</v>
      </c>
      <c r="FN8" s="125" t="str">
        <f>'Core Inputs Interface'!$C$7</f>
        <v>Combined Ontario Municipalities</v>
      </c>
      <c r="FO8"/>
      <c r="FP8" s="68"/>
      <c r="FQ8" s="68"/>
      <c r="FR8"/>
      <c r="FS8"/>
      <c r="FT8"/>
      <c r="FU8"/>
      <c r="FV8"/>
      <c r="FW8" s="281"/>
      <c r="FX8"/>
      <c r="FY8" s="17"/>
      <c r="FZ8" s="17"/>
      <c r="GA8" s="16" t="s">
        <v>31</v>
      </c>
      <c r="GC8" s="281"/>
      <c r="GD8" s="167" t="s">
        <v>118</v>
      </c>
      <c r="GE8" s="76" t="str">
        <f>'Optional Project-Level Input'!C7</f>
        <v>New Fire Station on Main Street</v>
      </c>
      <c r="GF8" s="92"/>
      <c r="GG8" s="92"/>
      <c r="GL8" s="95"/>
      <c r="GN8" s="92"/>
      <c r="GO8" s="92"/>
      <c r="GZ8" s="281"/>
      <c r="HA8" s="170"/>
      <c r="HB8" s="166"/>
      <c r="HC8" s="170"/>
      <c r="HD8" s="170"/>
      <c r="HE8" s="282" t="s">
        <v>102</v>
      </c>
      <c r="HF8" s="283"/>
      <c r="HG8" s="282" t="s">
        <v>58</v>
      </c>
      <c r="HH8" s="283"/>
      <c r="HI8" s="282" t="s">
        <v>72</v>
      </c>
      <c r="HJ8" s="283"/>
      <c r="HK8" s="282" t="s">
        <v>73</v>
      </c>
      <c r="HL8" s="283"/>
      <c r="HM8"/>
      <c r="HN8" s="281"/>
      <c r="HO8" t="s">
        <v>119</v>
      </c>
      <c r="HP8" s="125" t="str">
        <f>GE8</f>
        <v>New Fire Station on Main Street</v>
      </c>
      <c r="HQ8"/>
      <c r="HR8"/>
      <c r="HS8" s="75" t="str">
        <f ca="1">_xlfn.CONCAT("The ",'Core Inputs Interface'!C7," plans to spend approximately $",IF(HP9=HP10,_xlfn.CONCAT(TEXT(HP10/2,"0"),"mn"),_xlfn.CONCAT(TEXT(HP10/2,"0.00"),"bn"))," per year on the construction of the ",GE8,".")</f>
        <v>The Combined Ontario Municipalities plans to spend approximately $0.58bn per year on the construction of the New Fire Station on Main Street.</v>
      </c>
      <c r="HT8" s="75"/>
      <c r="HU8" s="75"/>
      <c r="HV8" s="75"/>
      <c r="HW8" s="75"/>
      <c r="HY8" s="281"/>
      <c r="HZ8" s="162" t="s">
        <v>62</v>
      </c>
      <c r="IA8" s="162" t="s">
        <v>23</v>
      </c>
      <c r="IB8" s="230" t="s">
        <v>61</v>
      </c>
      <c r="IC8" s="230" t="s">
        <v>134</v>
      </c>
      <c r="ID8" s="228" t="s">
        <v>74</v>
      </c>
      <c r="IE8" s="228" t="s">
        <v>75</v>
      </c>
      <c r="IF8" s="228" t="s">
        <v>59</v>
      </c>
      <c r="IG8" s="228" t="s">
        <v>58</v>
      </c>
      <c r="IH8" s="229" t="s">
        <v>72</v>
      </c>
      <c r="II8" s="230" t="s">
        <v>64</v>
      </c>
      <c r="IJ8" s="233" t="s">
        <v>80</v>
      </c>
    </row>
    <row r="9" spans="2:247" ht="15" thickBot="1">
      <c r="C9" s="281"/>
      <c r="D9" s="287"/>
      <c r="E9" s="157" t="s">
        <v>66</v>
      </c>
      <c r="F9" s="155">
        <v>0.39500000000000002</v>
      </c>
      <c r="G9" s="155">
        <v>0.41499999999999998</v>
      </c>
      <c r="H9" s="155">
        <v>0.41499999999999998</v>
      </c>
      <c r="I9" s="155">
        <v>0.41499999999999998</v>
      </c>
      <c r="J9" s="155">
        <v>0.375</v>
      </c>
      <c r="K9" s="155">
        <v>0.35</v>
      </c>
      <c r="L9" s="63">
        <f t="shared" ref="L9:L24" si="0">AVERAGE(J9:K9)</f>
        <v>0.36249999999999999</v>
      </c>
      <c r="M9" s="155">
        <v>0.6</v>
      </c>
      <c r="N9" s="155">
        <v>0.6</v>
      </c>
      <c r="O9" s="155">
        <v>0</v>
      </c>
      <c r="P9" s="155">
        <v>0</v>
      </c>
      <c r="Q9" s="155">
        <v>0</v>
      </c>
      <c r="R9" s="16"/>
      <c r="S9" s="287"/>
      <c r="T9" s="156" t="s">
        <v>90</v>
      </c>
      <c r="U9" s="156" t="s">
        <v>75</v>
      </c>
      <c r="V9" s="16"/>
      <c r="W9" s="287"/>
      <c r="X9" s="156" t="s">
        <v>100</v>
      </c>
      <c r="Y9" s="160" t="s">
        <v>59</v>
      </c>
      <c r="Z9" s="159">
        <v>46082</v>
      </c>
      <c r="AA9" s="159">
        <v>46447</v>
      </c>
      <c r="AC9" s="281"/>
      <c r="AD9">
        <v>1</v>
      </c>
      <c r="AE9" s="57" t="str" cm="1">
        <f t="array" ref="AE9">INDEX($F$8:$Q$8,$AD9)</f>
        <v>Residential Building - high density</v>
      </c>
      <c r="AF9" s="58" t="s">
        <v>66</v>
      </c>
      <c r="AG9" s="62">
        <v>46082</v>
      </c>
      <c r="AH9" s="79">
        <f ca="1">IFERROR(INDEX('Core Inputs Interface'!$1:$1048576,MATCH($AE9,'Core Inputs Interface'!$H:$H,0),MATCH($AG9,'Core Inputs Interface'!$17:$17,0)),"")</f>
        <v>633</v>
      </c>
      <c r="AI9" s="55">
        <f>IFERROR(INDEX($F$9:$Q$30,MATCH($AF9,$E$9:$E$30,0),MATCH($AE9,$F$8:$Q$8,0)),0)</f>
        <v>0.39500000000000002</v>
      </c>
      <c r="AJ9" s="55" t="str">
        <f t="shared" ref="AJ9:AJ72" si="1">IFERROR(INDEX($U:$U,MATCH($AF9,$T:$T,0)),0)</f>
        <v>N/A</v>
      </c>
      <c r="AK9" s="55" t="str">
        <f t="shared" ref="AK9:AK72" si="2">IFERROR(INDEX($Y:$Y,MATCH($AF9,$X:$X,0)),0)</f>
        <v>N/A</v>
      </c>
      <c r="AL9" s="55" t="str">
        <f ca="1">IFERROR(INDEX($Z$10:$AA$31,MATCH($AF9,$X$10:$X$31,0),MATCH($AG9,$Z$9:$AA$9,0)),0)</f>
        <v>N/A</v>
      </c>
      <c r="AM9" s="65">
        <f t="shared" ref="AM9:AM72" ca="1" si="3">IF(AL9="N/A",0,PRODUCT(AH9:AL9))</f>
        <v>0</v>
      </c>
      <c r="AN9" s="66">
        <f t="shared" ref="AN9:AN72" ca="1" si="4">PRODUCT(AH9:AI9)</f>
        <v>250.03500000000003</v>
      </c>
      <c r="AO9" s="56">
        <f ca="1">IFERROR(AM9/AN9,0)</f>
        <v>0</v>
      </c>
      <c r="AP9" t="str">
        <f t="shared" ref="AP9:AP40" si="5">_xlfn.TEXTJOIN("_",,$AE9,$AG9)</f>
        <v>Residential Building - high density_46082</v>
      </c>
      <c r="AQ9" t="str">
        <f t="shared" ref="AQ9:AQ40" si="6">_xlfn.TEXTJOIN("_",,$AF9,$AG9)</f>
        <v>Labour_46082</v>
      </c>
      <c r="AS9" s="281"/>
      <c r="AT9" s="16" t="str" cm="1">
        <f t="array" aca="1" ref="AT9:AT21" ca="1">_xlfn.UNIQUE(_xlfn._xlws.FILTER(AE:AE,ISNUMBER(AH:AH)))</f>
        <v>Residential Building - high density</v>
      </c>
      <c r="AU9" s="68">
        <f ca="1">SUMIFS($AM:$AM,$AP:$AP,_xlfn.TEXTJOIN("_",,$AT9,AU$8))</f>
        <v>13.347867729407699</v>
      </c>
      <c r="AV9" s="68">
        <f t="shared" ref="AU9:AV21" ca="1" si="7">SUMIFS($AM:$AM,$AP:$AP,_xlfn.TEXTJOIN("_",,$AT9,AV$8))</f>
        <v>14.802848571949768</v>
      </c>
      <c r="AW9" s="68">
        <f ca="1">SUM(AU9:AV9)</f>
        <v>28.15071630135747</v>
      </c>
      <c r="AX9" s="68"/>
      <c r="AY9" s="68"/>
      <c r="AZ9" s="148" t="s">
        <v>101</v>
      </c>
      <c r="BA9" s="68" cm="1">
        <f t="array" aca="1" ref="BA9:BN9" ca="1">_xlfn.HSTACK(TRANSPOSE(_xlfn.SORTBY($AU$9:$AU$21,$AU$9:$AU$21,-1)),$AU$22)</f>
        <v>132.33963525174752</v>
      </c>
      <c r="BB9" s="68">
        <f ca="1"/>
        <v>127.04928778745342</v>
      </c>
      <c r="BC9" s="68">
        <f ca="1"/>
        <v>86.623464644801558</v>
      </c>
      <c r="BD9" s="68">
        <f ca="1"/>
        <v>68.605997078039351</v>
      </c>
      <c r="BE9" s="68">
        <f ca="1"/>
        <v>55.255058764829506</v>
      </c>
      <c r="BF9" s="68">
        <f ca="1"/>
        <v>32.243152368025548</v>
      </c>
      <c r="BG9" s="68">
        <f ca="1"/>
        <v>19.217618783374533</v>
      </c>
      <c r="BH9" s="68">
        <f ca="1"/>
        <v>13.347867729407699</v>
      </c>
      <c r="BI9" s="68">
        <f ca="1"/>
        <v>2.6463317706686116</v>
      </c>
      <c r="BJ9" s="68">
        <f ca="1"/>
        <v>0.24883094444844525</v>
      </c>
      <c r="BK9" s="68">
        <f ca="1"/>
        <v>0</v>
      </c>
      <c r="BL9" s="68">
        <f ca="1"/>
        <v>0</v>
      </c>
      <c r="BM9" s="68">
        <f ca="1"/>
        <v>0</v>
      </c>
      <c r="BN9" s="68">
        <f ca="1"/>
        <v>537.57724512279628</v>
      </c>
      <c r="BO9" s="68" cm="1">
        <f t="array" aca="1" ref="BO9:CB9" ca="1">_xlfn.HSTACK(TRANSPOSE(_xlfn.SORTBY($AV$9:$AV$21,$AV$9:$AV$21,-1)),$AV$22)</f>
        <v>139.08200871595585</v>
      </c>
      <c r="BP9" s="68">
        <f ca="1"/>
        <v>133.51725152936012</v>
      </c>
      <c r="BQ9" s="68">
        <f ca="1"/>
        <v>91.056526805740646</v>
      </c>
      <c r="BR9" s="68">
        <f ca="1"/>
        <v>72.067767572802794</v>
      </c>
      <c r="BS9" s="68">
        <f ca="1"/>
        <v>58.069939117000061</v>
      </c>
      <c r="BT9" s="68">
        <f ca="1"/>
        <v>35.200705090051777</v>
      </c>
      <c r="BU9" s="68">
        <f ca="1"/>
        <v>20.184807474879154</v>
      </c>
      <c r="BV9" s="68">
        <f ca="1"/>
        <v>14.802848571949768</v>
      </c>
      <c r="BW9" s="68">
        <f ca="1"/>
        <v>2.9382065983158849</v>
      </c>
      <c r="BX9" s="68">
        <f ca="1"/>
        <v>0.28437822222679454</v>
      </c>
      <c r="BY9" s="68">
        <f ca="1"/>
        <v>0</v>
      </c>
      <c r="BZ9" s="68">
        <f ca="1"/>
        <v>0</v>
      </c>
      <c r="CA9" s="68">
        <f ca="1"/>
        <v>0</v>
      </c>
      <c r="CB9" s="68">
        <f ca="1"/>
        <v>567.20443969828284</v>
      </c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O9" s="281"/>
      <c r="DP9" cm="1">
        <f t="array" aca="1" ref="DP9:DP21" ca="1">_xlfn.SEQUENCE(COUNTA(_xlfn.ANCHORARRAY(AT9)),1,1,1)</f>
        <v>1</v>
      </c>
      <c r="DQ9" t="str" cm="1">
        <f t="array" aca="1" ref="DQ9:DQ21" ca="1">_xlfn.SORTBY(AT9:AT21,AW9:AW21,-1)</f>
        <v>Roads</v>
      </c>
      <c r="DV9" t="str" cm="1">
        <f t="array" aca="1" ref="DV9:DV21" ca="1">_xlfn.ANCHORARRAY(DQ9)</f>
        <v>Roads</v>
      </c>
      <c r="DW9" cm="1">
        <f t="array" aca="1" ref="DW9:DW21" ca="1">SUMIFS(AN:AN,AE:AE,_xlfn.ANCHORARRAY(DV9))</f>
        <v>19806</v>
      </c>
      <c r="DX9">
        <f ca="1">RANK(DW9,_xlfn.ANCHORARRAY($DW$9))</f>
        <v>1</v>
      </c>
      <c r="EA9" s="143" t="s">
        <v>150</v>
      </c>
      <c r="EB9" s="214">
        <f ca="1">SUM('Core Inputs Interface'!I29:J29)+HP9</f>
        <v>52497</v>
      </c>
      <c r="EC9" s="68"/>
      <c r="ED9" s="68"/>
      <c r="EE9" s="68"/>
      <c r="EG9" s="281"/>
      <c r="FC9" s="288" t="s">
        <v>102</v>
      </c>
      <c r="FD9" s="288"/>
      <c r="FE9" s="288" t="s">
        <v>58</v>
      </c>
      <c r="FF9" s="288"/>
      <c r="FG9" s="288" t="s">
        <v>72</v>
      </c>
      <c r="FH9" s="288"/>
      <c r="FI9" s="288" t="s">
        <v>73</v>
      </c>
      <c r="FJ9" s="288"/>
      <c r="FL9" s="281"/>
      <c r="FM9" s="143" t="s">
        <v>150</v>
      </c>
      <c r="FN9" s="212">
        <f ca="1">SUM(_xlfn.ANCHORARRAY(EQ11))</f>
        <v>0</v>
      </c>
      <c r="FO9" s="68"/>
      <c r="FP9" s="68"/>
      <c r="FQ9" s="75" t="str">
        <f ca="1">_xlfn.CONCAT("The ",FN8," plans to spend approximately $",IF(FN9=FN10,_xlfn.CONCAT(TEXT(FN10/2,"0"),"mn"),_xlfn.CONCAT(TEXT(FN10/2,"0.00"),"bn"))," per year on the construction of municipal ",EI8,".")</f>
        <v>The Combined Ontario Municipalities plans to spend approximately $0mn per year on the construction of municipal Machinery &amp; Equipment.</v>
      </c>
      <c r="FR9" s="75"/>
      <c r="FS9" s="75"/>
      <c r="FT9" s="75"/>
      <c r="FU9" s="75"/>
      <c r="FW9" s="281"/>
      <c r="FX9" t="s">
        <v>66</v>
      </c>
      <c r="FY9" s="114">
        <v>46082</v>
      </c>
      <c r="FZ9" s="122">
        <v>0.6</v>
      </c>
      <c r="GA9" t="s">
        <v>33</v>
      </c>
      <c r="GC9" s="281"/>
      <c r="GF9" s="284" t="s">
        <v>64</v>
      </c>
      <c r="GG9" s="284"/>
      <c r="GH9" s="285" t="s">
        <v>79</v>
      </c>
      <c r="GI9" s="285"/>
      <c r="GJ9" s="168" t="s">
        <v>74</v>
      </c>
      <c r="GL9" s="17"/>
      <c r="GN9" s="168" t="s">
        <v>58</v>
      </c>
      <c r="GP9" s="168" t="s">
        <v>72</v>
      </c>
      <c r="GQ9" s="168"/>
      <c r="GR9" s="168" t="s">
        <v>80</v>
      </c>
      <c r="GX9" s="17"/>
      <c r="GZ9" s="281"/>
      <c r="HA9" s="171" t="s">
        <v>63</v>
      </c>
      <c r="HB9" s="166" t="s">
        <v>120</v>
      </c>
      <c r="HC9" s="166" t="s">
        <v>57</v>
      </c>
      <c r="HD9" s="171" t="s">
        <v>59</v>
      </c>
      <c r="HE9" s="173">
        <v>46082</v>
      </c>
      <c r="HF9" s="172">
        <v>46447</v>
      </c>
      <c r="HG9" s="173">
        <v>46082</v>
      </c>
      <c r="HH9" s="172">
        <v>46447</v>
      </c>
      <c r="HI9" s="173">
        <v>46082</v>
      </c>
      <c r="HJ9" s="172">
        <v>46447</v>
      </c>
      <c r="HK9" s="173">
        <v>46082</v>
      </c>
      <c r="HL9" s="172">
        <v>46447</v>
      </c>
      <c r="HN9" s="281"/>
      <c r="HO9" t="s">
        <v>150</v>
      </c>
      <c r="HP9" s="126">
        <f ca="1">SUM(_xlfn.ANCHORARRAY(HE10),_xlfn.ANCHORARRAY(HF10))</f>
        <v>1169</v>
      </c>
      <c r="HQ9" s="68"/>
      <c r="HR9" s="68"/>
      <c r="HY9" s="281"/>
      <c r="HZ9" t="str" cm="1">
        <f t="array" aca="1" ref="HZ9:HZ22" ca="1">IF(_xlfn.ANCHORARRAY(IA9)&lt;&gt;"",'Optional Project-Level Input'!C7)</f>
        <v>New Fire Station on Main Street</v>
      </c>
      <c r="IA9" t="str" cm="1">
        <f t="array" aca="1" ref="IA9:IA22" ca="1">_xlfn.VSTACK(_xlfn.ANCHORARRAY(HA10),_xlfn.ANCHORARRAY(HA10))</f>
        <v>Firetrucks</v>
      </c>
      <c r="IB9" s="225" cm="1">
        <f t="array" aca="1" ref="IB9:IB22" ca="1">_xlfn.VSTACK(IF(_xlfn.ANCHORARRAY(HA10)&lt;&gt;"",DATE(2026,3,1)),IF(_xlfn.ANCHORARRAY(HA10)&lt;&gt;"",DATE(2027,3,1)))</f>
        <v>46082</v>
      </c>
      <c r="IC9" s="202" cm="1">
        <f t="array" aca="1" ref="IC9:IC22" ca="1">IF(_xlfn.ANCHORARRAY($IB$9)=DATE(2026,3,1),SUM(_xlfn.ANCHORARRAY(HE10)),SUM(_xlfn.ANCHORARRAY(HF10)))</f>
        <v>582</v>
      </c>
      <c r="ID9" s="74" cm="1">
        <f t="array" aca="1" ref="ID9:ID22" ca="1">INDEX($GJ:$GK,MATCH(_xlfn.ANCHORARRAY($IA$9),$GU:$GU,0),MATCH(_xlfn.ANCHORARRAY($IB$9),$GJ$10:GK10,0))</f>
        <v>0.11855670103092783</v>
      </c>
      <c r="IE9" s="74" cm="1">
        <f t="array" aca="1" ref="IE9:IE22" ca="1">INDEX($GL:$GL,MATCH(_xlfn.ANCHORARRAY($IA$9),$GU:$GU,0))</f>
        <v>0.8</v>
      </c>
      <c r="IF9" s="74" cm="1">
        <f t="array" aca="1" ref="IF9:IF22" ca="1">INDEX($GM:$GM,MATCH(_xlfn.ANCHORARRAY($IA$9),$GU:$GU,0))</f>
        <v>0.8</v>
      </c>
      <c r="IG9" s="74" cm="1">
        <f t="array" aca="1" ref="IG9:IG22" ca="1">INDEX($GN:$GO,MATCH(_xlfn.ANCHORARRAY($IA$9),$GU:$GU,0),MATCH(_xlfn.ANCHORARRAY($IB$9),$GN$10:GO10,0))</f>
        <v>0.25</v>
      </c>
      <c r="IH9" s="201" cm="1">
        <f t="array" aca="1" ref="IH9:IH22" ca="1">INDEX($GP:$GQ,MATCH(_xlfn.ANCHORARRAY($IA$9),$GU:$GU,0),MATCH(_xlfn.ANCHORARRAY($IB$9),$GP$10:GQ10,0))</f>
        <v>11.040000000000001</v>
      </c>
      <c r="II9" s="202" cm="1">
        <f t="array" aca="1" ref="II9:II22" ca="1">INDEX($GF:$GG,MATCH(_xlfn.ANCHORARRAY($IA$9),$GU:$GU,0),MATCH(_xlfn.ANCHORARRAY($IB$9),$GF$10:GG10,0))</f>
        <v>69</v>
      </c>
      <c r="IJ9" s="231" cm="1">
        <f t="array" aca="1" ref="IJ9:IJ22" ca="1">INDEX($GR:$GS,MATCH(_xlfn.ANCHORARRAY($IA$9),$GU:$GU,0),MATCH(_xlfn.ANCHORARRAY($IB$9),$GR$10:GS10,0))</f>
        <v>0.16</v>
      </c>
    </row>
    <row r="10" spans="2:247" ht="15.6" thickTop="1" thickBot="1">
      <c r="C10" s="281"/>
      <c r="D10" s="287"/>
      <c r="E10" s="157" t="s">
        <v>67</v>
      </c>
      <c r="F10" s="155">
        <v>0.02</v>
      </c>
      <c r="G10" s="155">
        <v>0</v>
      </c>
      <c r="H10" s="155">
        <v>0</v>
      </c>
      <c r="I10" s="155">
        <v>1.4999999999999999E-2</v>
      </c>
      <c r="J10" s="155">
        <v>0.2</v>
      </c>
      <c r="K10" s="155">
        <v>0.2</v>
      </c>
      <c r="L10" s="63">
        <f t="shared" si="0"/>
        <v>0.2</v>
      </c>
      <c r="M10" s="155">
        <v>0</v>
      </c>
      <c r="N10" s="155">
        <v>0</v>
      </c>
      <c r="O10" s="155">
        <v>0</v>
      </c>
      <c r="P10" s="155">
        <v>0</v>
      </c>
      <c r="Q10" s="155">
        <v>0</v>
      </c>
      <c r="S10" s="287"/>
      <c r="T10" s="158" t="s">
        <v>66</v>
      </c>
      <c r="U10" s="155" t="s">
        <v>103</v>
      </c>
      <c r="W10" s="287"/>
      <c r="X10" s="158" t="s">
        <v>66</v>
      </c>
      <c r="Y10" s="17" t="str">
        <f>"N/A"</f>
        <v>N/A</v>
      </c>
      <c r="Z10" s="54" t="str">
        <f ca="1">IFERROR(INDEX('Core Inputs Interface'!D:D,MATCH($X10,'Core Inputs Interface'!$C:$C,0)),"N/A")</f>
        <v>N/A</v>
      </c>
      <c r="AA10" s="54" t="str">
        <f ca="1">IFERROR(INDEX('Core Inputs Interface'!E:E,MATCH($X10,'Core Inputs Interface'!$C:$C,0)),"N/A")</f>
        <v>N/A</v>
      </c>
      <c r="AC10" s="281"/>
      <c r="AE10" s="59" t="str">
        <f>AE9</f>
        <v>Residential Building - high density</v>
      </c>
      <c r="AF10" s="58" t="s">
        <v>67</v>
      </c>
      <c r="AG10" s="60">
        <f>AG9</f>
        <v>46082</v>
      </c>
      <c r="AH10" s="79">
        <f ca="1">IFERROR(INDEX('Core Inputs Interface'!$1:$1048576,MATCH($AE10,'Core Inputs Interface'!$H:$H,0),MATCH($AG10,'Core Inputs Interface'!$17:$17,0)),"")</f>
        <v>633</v>
      </c>
      <c r="AI10" s="55">
        <f t="shared" ref="AI10:AI73" si="8">IFERROR(INDEX($F$9:$Q$30,MATCH($AF10,$E$9:$E$30,0),MATCH($AE10,$F$8:$Q$8,0)),0)</f>
        <v>0.02</v>
      </c>
      <c r="AJ10" s="55" t="str">
        <f t="shared" si="1"/>
        <v>N/A</v>
      </c>
      <c r="AK10" s="55" t="str">
        <f t="shared" si="2"/>
        <v>N/A</v>
      </c>
      <c r="AL10" s="55" t="str">
        <f t="shared" ref="AL10:AL73" ca="1" si="9">IFERROR(INDEX($Z$10:$AA$31,MATCH($AF10,$X$10:$X$31,0),MATCH($AG10,$Z$9:$AA$9,0)),0)</f>
        <v>N/A</v>
      </c>
      <c r="AM10" s="65">
        <f t="shared" ca="1" si="3"/>
        <v>0</v>
      </c>
      <c r="AN10" s="66">
        <f t="shared" ca="1" si="4"/>
        <v>12.66</v>
      </c>
      <c r="AO10" s="56">
        <f t="shared" ref="AO10:AO50" ca="1" si="10">IFERROR(AM10/AN10,0)</f>
        <v>0</v>
      </c>
      <c r="AP10" t="str">
        <f t="shared" si="5"/>
        <v>Residential Building - high density_46082</v>
      </c>
      <c r="AQ10" t="str">
        <f t="shared" si="6"/>
        <v>Engineering design_46082</v>
      </c>
      <c r="AS10" s="281"/>
      <c r="AT10" t="str">
        <f ca="1"/>
        <v>Residential Building - medium density</v>
      </c>
      <c r="AU10" s="68">
        <f t="shared" ca="1" si="7"/>
        <v>2.6463317706686116</v>
      </c>
      <c r="AV10" s="68">
        <f t="shared" ca="1" si="7"/>
        <v>2.9382065983158849</v>
      </c>
      <c r="AW10" s="68">
        <f t="shared" ref="AW10:AW20" ca="1" si="11">SUM(AU10:AV10)</f>
        <v>5.5845383689844965</v>
      </c>
      <c r="AZ10" s="148" t="s">
        <v>104</v>
      </c>
      <c r="BA10" s="68" cm="1">
        <f t="array" aca="1" ref="BA10:BN10" ca="1">_xlfn.HSTACK(0,_xlfn.DROP(_xlfn.SCAN(0,_xlfn.ANCHORARRAY(BA9),_xlfn.LAMBDA(_xlpm.a,_xlpm.x,_xlpm.a+_xlpm.x)),,-2),"")</f>
        <v>0</v>
      </c>
      <c r="BB10" s="68">
        <f ca="1"/>
        <v>132.33963525174752</v>
      </c>
      <c r="BC10" s="68">
        <f ca="1"/>
        <v>259.38892303920096</v>
      </c>
      <c r="BD10" s="68">
        <f ca="1"/>
        <v>346.01238768400253</v>
      </c>
      <c r="BE10" s="68">
        <f ca="1"/>
        <v>414.6183847620419</v>
      </c>
      <c r="BF10" s="68">
        <f ca="1"/>
        <v>469.87344352687143</v>
      </c>
      <c r="BG10" s="68">
        <f ca="1"/>
        <v>502.11659589489699</v>
      </c>
      <c r="BH10" s="68">
        <f ca="1"/>
        <v>521.33421467827156</v>
      </c>
      <c r="BI10" s="68">
        <f ca="1"/>
        <v>534.68208240767922</v>
      </c>
      <c r="BJ10" s="68">
        <f ca="1"/>
        <v>537.32841417834788</v>
      </c>
      <c r="BK10" s="68">
        <f ca="1"/>
        <v>537.57724512279628</v>
      </c>
      <c r="BL10" s="68">
        <f ca="1"/>
        <v>537.57724512279628</v>
      </c>
      <c r="BM10" s="68">
        <f ca="1"/>
        <v>537.57724512279628</v>
      </c>
      <c r="BN10" s="68" t="str">
        <f ca="1"/>
        <v/>
      </c>
      <c r="BO10" s="68" cm="1">
        <f t="array" aca="1" ref="BO10:CB10" ca="1">_xlfn.HSTACK(0,_xlfn.DROP(_xlfn.SCAN(0,_xlfn.ANCHORARRAY(BO9),_xlfn.LAMBDA(_xlpm.a,_xlpm.x,_xlpm.a+_xlpm.x)),,-2),"")</f>
        <v>0</v>
      </c>
      <c r="BP10" s="68">
        <f ca="1"/>
        <v>139.08200871595585</v>
      </c>
      <c r="BQ10" s="68">
        <f ca="1"/>
        <v>272.59926024531597</v>
      </c>
      <c r="BR10" s="68">
        <f ca="1"/>
        <v>363.65578705105662</v>
      </c>
      <c r="BS10" s="68">
        <f ca="1"/>
        <v>435.7235546238594</v>
      </c>
      <c r="BT10" s="68">
        <f ca="1"/>
        <v>493.79349374085945</v>
      </c>
      <c r="BU10" s="68">
        <f ca="1"/>
        <v>528.99419883091127</v>
      </c>
      <c r="BV10" s="68">
        <f ca="1"/>
        <v>549.17900630579038</v>
      </c>
      <c r="BW10" s="68">
        <f ca="1"/>
        <v>563.98185487774015</v>
      </c>
      <c r="BX10" s="68">
        <f ca="1"/>
        <v>566.92006147605605</v>
      </c>
      <c r="BY10" s="68">
        <f ca="1"/>
        <v>567.20443969828284</v>
      </c>
      <c r="BZ10" s="68">
        <f ca="1"/>
        <v>567.20443969828284</v>
      </c>
      <c r="CA10" s="68">
        <f ca="1"/>
        <v>567.20443969828284</v>
      </c>
      <c r="CB10" s="68" t="str">
        <f ca="1"/>
        <v/>
      </c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O10" s="281"/>
      <c r="DP10">
        <f ca="1"/>
        <v>2</v>
      </c>
      <c r="DQ10" t="str">
        <f ca="1"/>
        <v>Non-Residential Building</v>
      </c>
      <c r="DV10" t="str">
        <f ca="1"/>
        <v>Non-Residential Building</v>
      </c>
      <c r="DW10">
        <f ca="1"/>
        <v>11279.999999999998</v>
      </c>
      <c r="DX10">
        <f t="shared" ref="DX10:DX21" ca="1" si="12">RANK(DW10,_xlfn.ANCHORARRAY($DW$9))</f>
        <v>2</v>
      </c>
      <c r="EA10" s="143" t="s">
        <v>151</v>
      </c>
      <c r="EB10" s="214">
        <f ca="1">IF(EB9&gt;1000,EB9/1000,EB9)</f>
        <v>52.497</v>
      </c>
      <c r="EG10" s="281"/>
      <c r="EH10" s="78" t="s">
        <v>62</v>
      </c>
      <c r="EI10" s="83" t="s">
        <v>23</v>
      </c>
      <c r="EJ10" s="84" t="s">
        <v>61</v>
      </c>
      <c r="EK10" s="84" t="s">
        <v>95</v>
      </c>
      <c r="EL10" s="84" t="s">
        <v>74</v>
      </c>
      <c r="EM10" s="84" t="s">
        <v>75</v>
      </c>
      <c r="EN10" s="84" t="s">
        <v>59</v>
      </c>
      <c r="EO10" s="84" t="s">
        <v>58</v>
      </c>
      <c r="EP10" s="93" t="s">
        <v>72</v>
      </c>
      <c r="EQ10" s="84" t="s">
        <v>64</v>
      </c>
      <c r="ER10" s="84" t="s">
        <v>80</v>
      </c>
      <c r="ES10" s="84" t="s">
        <v>106</v>
      </c>
      <c r="EU10" s="89" t="s">
        <v>107</v>
      </c>
      <c r="EV10" s="89" t="s">
        <v>108</v>
      </c>
      <c r="EY10" s="94" t="s">
        <v>63</v>
      </c>
      <c r="EZ10" s="94" t="s">
        <v>74</v>
      </c>
      <c r="FA10" s="94" t="s">
        <v>75</v>
      </c>
      <c r="FB10" s="94" t="s">
        <v>59</v>
      </c>
      <c r="FC10" s="98">
        <v>46082</v>
      </c>
      <c r="FD10" s="98">
        <v>46447</v>
      </c>
      <c r="FE10" s="98">
        <v>46082</v>
      </c>
      <c r="FF10" s="98">
        <v>46447</v>
      </c>
      <c r="FG10" s="98">
        <v>46082</v>
      </c>
      <c r="FH10" s="98">
        <v>46447</v>
      </c>
      <c r="FI10" s="98">
        <v>46082</v>
      </c>
      <c r="FJ10" s="98">
        <v>46447</v>
      </c>
      <c r="FL10" s="281"/>
      <c r="FM10" s="143" t="s">
        <v>151</v>
      </c>
      <c r="FN10" s="126">
        <f ca="1">IF(FN9&gt;1000,FN9/1000,FN9)</f>
        <v>0</v>
      </c>
      <c r="FP10" s="68"/>
      <c r="FW10" s="281"/>
      <c r="FX10" t="s">
        <v>67</v>
      </c>
      <c r="FY10" s="114">
        <v>46447</v>
      </c>
      <c r="FZ10" s="122">
        <v>0.8</v>
      </c>
      <c r="GA10" t="s">
        <v>37</v>
      </c>
      <c r="GC10" s="281"/>
      <c r="GD10" s="168" t="s">
        <v>63</v>
      </c>
      <c r="GE10" s="168"/>
      <c r="GF10" s="226">
        <v>46082</v>
      </c>
      <c r="GG10" s="226">
        <v>46447</v>
      </c>
      <c r="GH10" s="226">
        <v>46082</v>
      </c>
      <c r="GI10" s="226">
        <v>46447</v>
      </c>
      <c r="GJ10" s="226">
        <v>46082</v>
      </c>
      <c r="GK10" s="226">
        <v>46447</v>
      </c>
      <c r="GL10" s="172" t="s">
        <v>57</v>
      </c>
      <c r="GM10" s="226" t="s">
        <v>59</v>
      </c>
      <c r="GN10" s="226">
        <v>46082</v>
      </c>
      <c r="GO10" s="226">
        <v>46447</v>
      </c>
      <c r="GP10" s="226">
        <v>46082</v>
      </c>
      <c r="GQ10" s="226">
        <v>46447</v>
      </c>
      <c r="GR10" s="226">
        <v>46082</v>
      </c>
      <c r="GS10" s="226">
        <v>46447</v>
      </c>
      <c r="GT10" s="168" t="s">
        <v>96</v>
      </c>
      <c r="GU10" s="168" t="s">
        <v>97</v>
      </c>
      <c r="GW10" s="166" t="s">
        <v>107</v>
      </c>
      <c r="GX10" s="166" t="s">
        <v>108</v>
      </c>
      <c r="GZ10" s="281"/>
      <c r="HA10" t="str" cm="1">
        <f t="array" aca="1" ref="HA10:HA16" ca="1">_xlfn.SORTBY(_xlfn.ANCHORARRAY(GW11),_xlfn.ANCHORARRAY(GX11),-1)</f>
        <v>Firetrucks</v>
      </c>
      <c r="HB10" s="122" cm="1">
        <f t="array" aca="1" ref="HB10:HB16" ca="1">(INDEX($GJ$7:$GJ$68,MATCH(_xlfn.ANCHORARRAY($HA10),$GU$7:$GU$68,0))+INDEX($GK$7:$GK$68,MATCH(_xlfn.ANCHORARRAY($HA10),$GU$7:$GU$68,0)))/2</f>
        <v>0.13849470485958659</v>
      </c>
      <c r="HC10" s="122" cm="1">
        <f t="array" aca="1" ref="HC10:HC16" ca="1">INDEX($GL$7:$GL$68,MATCH(_xlfn.ANCHORARRAY($HA10),$GU$7:$GU$68,0))</f>
        <v>0.8</v>
      </c>
      <c r="HD10" s="122" cm="1">
        <f t="array" aca="1" ref="HD10:HD16" ca="1">INDEX($GM$7:$GM$68,MATCH(_xlfn.ANCHORARRAY($HA10),$GU$7:$GU$68,0))</f>
        <v>0.8</v>
      </c>
      <c r="HE10" s="203" cm="1">
        <f t="array" aca="1" ref="HE10:HE16" ca="1">INDEX(_xlfn.ANCHORARRAY(GF11),MATCH(_xlfn.ANCHORARRAY($HA$10),_xlfn.ANCHORARRAY($GU$11),0))</f>
        <v>69</v>
      </c>
      <c r="HF10" s="203" cm="1">
        <f t="array" aca="1" ref="HF10:HF16" ca="1">INDEX(_xlfn.ANCHORARRAY(GG11),MATCH(_xlfn.ANCHORARRAY($HA$10),_xlfn.ANCHORARRAY($GU$11),0))</f>
        <v>93</v>
      </c>
      <c r="HG10" s="203" cm="1">
        <f t="array" aca="1" ref="HG10:HG16" ca="1">INDEX(_xlfn.ANCHORARRAY(GN11),MATCH(_xlfn.ANCHORARRAY($HA$10),_xlfn.ANCHORARRAY($GU$11),0))</f>
        <v>0.25</v>
      </c>
      <c r="HH10" s="203" cm="1">
        <f t="array" aca="1" ref="HH10:HH16" ca="1">INDEX(_xlfn.ANCHORARRAY(GO11),MATCH(_xlfn.ANCHORARRAY($HA$10),_xlfn.ANCHORARRAY($GU$11),0))</f>
        <v>0.25</v>
      </c>
      <c r="HI10" s="203" cm="1">
        <f t="array" aca="1" ref="HI10:HI16" ca="1">INDEX(_xlfn.ANCHORARRAY(GP11),MATCH(_xlfn.ANCHORARRAY($HA$10),_xlfn.ANCHORARRAY($GU$11),0))</f>
        <v>11.040000000000001</v>
      </c>
      <c r="HJ10" s="203" cm="1">
        <f t="array" aca="1" ref="HJ10:HJ16" ca="1">INDEX(_xlfn.ANCHORARRAY(GQ11),MATCH(_xlfn.ANCHORARRAY($HA$10),_xlfn.ANCHORARRAY($GU$11),0))</f>
        <v>14.880000000000003</v>
      </c>
      <c r="HK10" s="174" cm="1">
        <f t="array" aca="1" ref="HK10:HK16" ca="1">INDEX(_xlfn.ANCHORARRAY(GR11),MATCH(_xlfn.ANCHORARRAY($HA$10),_xlfn.ANCHORARRAY($GU$11),0))</f>
        <v>0.16</v>
      </c>
      <c r="HL10" s="175" cm="1">
        <f t="array" aca="1" ref="HL10:HL16" ca="1">INDEX(_xlfn.ANCHORARRAY(GS11),MATCH(_xlfn.ANCHORARRAY($HA$10),_xlfn.ANCHORARRAY($GU$11),0))</f>
        <v>0.16000000000000003</v>
      </c>
      <c r="HN10" s="281"/>
      <c r="HO10" t="s">
        <v>151</v>
      </c>
      <c r="HP10" s="126">
        <f ca="1">IF(HP9&gt;1000,HP9/1000,HP9)</f>
        <v>1.169</v>
      </c>
      <c r="HR10" s="68"/>
      <c r="HY10" s="281"/>
      <c r="HZ10" t="str">
        <f ca="1"/>
        <v>New Fire Station on Main Street</v>
      </c>
      <c r="IA10" t="str">
        <f ca="1"/>
        <v>Electrical Equipment</v>
      </c>
      <c r="IB10" s="225">
        <f ca="1"/>
        <v>46082</v>
      </c>
      <c r="IC10" s="202">
        <f ca="1"/>
        <v>582</v>
      </c>
      <c r="ID10" s="74">
        <f ca="1"/>
        <v>0.14948453608247422</v>
      </c>
      <c r="IE10" s="74">
        <f ca="1"/>
        <v>0.48556692694591386</v>
      </c>
      <c r="IF10" s="74">
        <f ca="1"/>
        <v>0.8</v>
      </c>
      <c r="IG10" s="74">
        <f ca="1"/>
        <v>0.25</v>
      </c>
      <c r="IH10" s="201">
        <f ca="1"/>
        <v>8.4488645288589019</v>
      </c>
      <c r="II10" s="202">
        <f ca="1"/>
        <v>87</v>
      </c>
      <c r="IJ10" s="231">
        <f ca="1"/>
        <v>9.711338538918278E-2</v>
      </c>
    </row>
    <row r="11" spans="2:247" ht="15.6" thickTop="1" thickBot="1">
      <c r="C11" s="281"/>
      <c r="D11" s="287"/>
      <c r="E11" s="157" t="s">
        <v>26</v>
      </c>
      <c r="F11" s="155">
        <v>0.08</v>
      </c>
      <c r="G11" s="155">
        <v>0.03</v>
      </c>
      <c r="H11" s="155">
        <v>0.02</v>
      </c>
      <c r="I11" s="155">
        <v>0.05</v>
      </c>
      <c r="J11" s="155">
        <v>2.5000000000000001E-2</v>
      </c>
      <c r="K11" s="155">
        <v>0.16</v>
      </c>
      <c r="L11" s="63">
        <f t="shared" si="0"/>
        <v>9.2499999999999999E-2</v>
      </c>
      <c r="M11" s="155">
        <v>0</v>
      </c>
      <c r="N11" s="155">
        <v>0</v>
      </c>
      <c r="O11" s="155">
        <v>0</v>
      </c>
      <c r="P11" s="155">
        <v>0</v>
      </c>
      <c r="Q11" s="155">
        <v>0</v>
      </c>
      <c r="S11" s="287"/>
      <c r="T11" s="158" t="s">
        <v>67</v>
      </c>
      <c r="U11" s="155" t="s">
        <v>103</v>
      </c>
      <c r="W11" s="287"/>
      <c r="X11" s="158" t="s">
        <v>67</v>
      </c>
      <c r="Y11" s="17" t="str">
        <f t="shared" ref="Y11" si="13">"N/A"</f>
        <v>N/A</v>
      </c>
      <c r="Z11" s="54" t="str">
        <f ca="1">IFERROR(INDEX('Core Inputs Interface'!D:D,MATCH($X11,'Core Inputs Interface'!$C:$C,0)),"N/A")</f>
        <v>N/A</v>
      </c>
      <c r="AA11" s="54" t="str">
        <f ca="1">IFERROR(INDEX('Core Inputs Interface'!E:E,MATCH($X11,'Core Inputs Interface'!$C:$C,0)),"N/A")</f>
        <v>N/A</v>
      </c>
      <c r="AC11" s="281"/>
      <c r="AE11" s="59" t="str">
        <f t="shared" ref="AE11:AE50" si="14">AE10</f>
        <v>Residential Building - high density</v>
      </c>
      <c r="AF11" s="58" t="s">
        <v>26</v>
      </c>
      <c r="AG11" s="60">
        <f t="shared" ref="AG11:AG28" si="15">AG10</f>
        <v>46082</v>
      </c>
      <c r="AH11" s="79">
        <f ca="1">IFERROR(INDEX('Core Inputs Interface'!$1:$1048576,MATCH($AE11,'Core Inputs Interface'!$H:$H,0),MATCH($AG11,'Core Inputs Interface'!$17:$17,0)),"")</f>
        <v>633</v>
      </c>
      <c r="AI11" s="55">
        <f t="shared" si="8"/>
        <v>0.08</v>
      </c>
      <c r="AJ11" s="55">
        <f t="shared" si="1"/>
        <v>8.4066217963502693E-2</v>
      </c>
      <c r="AK11" s="55">
        <f t="shared" si="2"/>
        <v>0.6</v>
      </c>
      <c r="AL11" s="55">
        <f t="shared" ca="1" si="9"/>
        <v>0.25</v>
      </c>
      <c r="AM11" s="65">
        <f t="shared" ca="1" si="3"/>
        <v>0.63856699165076647</v>
      </c>
      <c r="AN11" s="66">
        <f t="shared" ca="1" si="4"/>
        <v>50.64</v>
      </c>
      <c r="AO11" s="56">
        <f t="shared" ca="1" si="10"/>
        <v>1.2609932694525403E-2</v>
      </c>
      <c r="AP11" t="str">
        <f t="shared" si="5"/>
        <v>Residential Building - high density_46082</v>
      </c>
      <c r="AQ11" t="str">
        <f t="shared" si="6"/>
        <v>Reinforcing bar_46082</v>
      </c>
      <c r="AS11" s="281"/>
      <c r="AT11" t="str">
        <f ca="1"/>
        <v>Residential Building - low density</v>
      </c>
      <c r="AU11" s="68">
        <f t="shared" ca="1" si="7"/>
        <v>0.24883094444844525</v>
      </c>
      <c r="AV11" s="68">
        <f t="shared" ca="1" si="7"/>
        <v>0.28437822222679454</v>
      </c>
      <c r="AW11" s="68">
        <f t="shared" ca="1" si="11"/>
        <v>0.53320916667523977</v>
      </c>
      <c r="AZ11" s="148" t="s">
        <v>76</v>
      </c>
      <c r="BA11" s="68" cm="1">
        <f t="array" aca="1" ref="BA11:BN11" ca="1">IFERROR(_xlfn.ANCHORARRAY(BA9)+_xlfn.ANCHORARRAY(BA10),"")</f>
        <v>132.33963525174752</v>
      </c>
      <c r="BB11" s="68">
        <f ca="1"/>
        <v>259.38892303920096</v>
      </c>
      <c r="BC11" s="68">
        <f ca="1"/>
        <v>346.01238768400253</v>
      </c>
      <c r="BD11" s="68">
        <f ca="1"/>
        <v>414.6183847620419</v>
      </c>
      <c r="BE11" s="68">
        <f ca="1"/>
        <v>469.87344352687143</v>
      </c>
      <c r="BF11" s="68">
        <f ca="1"/>
        <v>502.11659589489699</v>
      </c>
      <c r="BG11" s="68">
        <f ca="1"/>
        <v>521.33421467827156</v>
      </c>
      <c r="BH11" s="68">
        <f ca="1"/>
        <v>534.68208240767922</v>
      </c>
      <c r="BI11" s="68">
        <f ca="1"/>
        <v>537.32841417834788</v>
      </c>
      <c r="BJ11" s="68">
        <f ca="1"/>
        <v>537.57724512279628</v>
      </c>
      <c r="BK11" s="68">
        <f ca="1"/>
        <v>537.57724512279628</v>
      </c>
      <c r="BL11" s="68">
        <f ca="1"/>
        <v>537.57724512279628</v>
      </c>
      <c r="BM11" s="68">
        <f ca="1"/>
        <v>537.57724512279628</v>
      </c>
      <c r="BN11" s="68" t="str">
        <f ca="1"/>
        <v/>
      </c>
      <c r="BO11" s="68" cm="1">
        <f t="array" aca="1" ref="BO11:CB11" ca="1">IFERROR(_xlfn.ANCHORARRAY(BO9)+_xlfn.ANCHORARRAY(BO10),"")</f>
        <v>139.08200871595585</v>
      </c>
      <c r="BP11" s="68">
        <f ca="1"/>
        <v>272.59926024531597</v>
      </c>
      <c r="BQ11" s="68">
        <f ca="1"/>
        <v>363.65578705105662</v>
      </c>
      <c r="BR11" s="68">
        <f ca="1"/>
        <v>435.7235546238594</v>
      </c>
      <c r="BS11" s="68">
        <f ca="1"/>
        <v>493.79349374085945</v>
      </c>
      <c r="BT11" s="68">
        <f ca="1"/>
        <v>528.99419883091127</v>
      </c>
      <c r="BU11" s="68">
        <f ca="1"/>
        <v>549.17900630579038</v>
      </c>
      <c r="BV11" s="68">
        <f ca="1"/>
        <v>563.98185487774015</v>
      </c>
      <c r="BW11" s="68">
        <f ca="1"/>
        <v>566.92006147605605</v>
      </c>
      <c r="BX11" s="68">
        <f ca="1"/>
        <v>567.20443969828284</v>
      </c>
      <c r="BY11" s="68">
        <f ca="1"/>
        <v>567.20443969828284</v>
      </c>
      <c r="BZ11" s="68">
        <f ca="1"/>
        <v>567.20443969828284</v>
      </c>
      <c r="CA11" s="68">
        <f ca="1"/>
        <v>567.20443969828284</v>
      </c>
      <c r="CB11" s="68" t="str">
        <f ca="1"/>
        <v/>
      </c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O11" s="281"/>
      <c r="DP11">
        <f ca="1"/>
        <v>3</v>
      </c>
      <c r="DQ11" t="str">
        <f ca="1"/>
        <v>Storm/Sanitary Sewers</v>
      </c>
      <c r="DV11" t="str">
        <f ca="1"/>
        <v>Storm/Sanitary Sewers</v>
      </c>
      <c r="DW11">
        <f ca="1"/>
        <v>9940</v>
      </c>
      <c r="DX11">
        <f t="shared" ca="1" si="12"/>
        <v>3</v>
      </c>
      <c r="EA11" s="143" t="s">
        <v>105</v>
      </c>
      <c r="EB11" s="214" t="str">
        <f ca="1">INDEX(_xlfn.ANCHORARRAY($DV$9),MATCH(1,$DX$9:$DX$21,0))</f>
        <v>Roads</v>
      </c>
      <c r="EC11" s="214" t="str">
        <f ca="1">INDEX(_xlfn.ANCHORARRAY($DV$9),MATCH(2,$DX$9:$DX$21,0))</f>
        <v>Non-Residential Building</v>
      </c>
      <c r="ED11" s="214" t="str">
        <f ca="1">INDEX(_xlfn.ANCHORARRAY($DV$9),MATCH(3,$DX$9:$DX$21,0))</f>
        <v>Storm/Sanitary Sewers</v>
      </c>
      <c r="EE11" s="75" t="str">
        <f ca="1">_xlfn.CONCAT("The ",EB8," plans to spend approximately $",IF(EB9=EB10,_xlfn.CONCAT(TEXT(EB10/2,"0"),"mn"),_xlfn.CONCAT(TEXT(EB10/2,"0.00"),"bn"))," per year on the construction of municipal assets such as ",EB11,", ",EC11," and ",ED11,".")</f>
        <v>The Combined Ontario Municipalities plans to spend approximately $26.25bn per year on the construction of municipal assets such as Roads, Non-Residential Building and Storm/Sanitary Sewers.</v>
      </c>
      <c r="EG11" s="281"/>
      <c r="EH11" t="str" cm="1">
        <f t="array" aca="1" ref="EH11" ca="1">IFERROR(_xlfn._xlws.FILTER(AE9:AE536,($AE$9:$AE$536=$EI$8)*($AN$9:$AN$536&gt;0)),"")</f>
        <v/>
      </c>
      <c r="EI11" t="str" cm="1">
        <f t="array" aca="1" ref="EI11" ca="1">IFERROR(_xlfn._xlws.FILTER(AF9:AF536,($AE$9:$AE$536=$EI$8)*($AN$9:$AN$536&gt;0)),"")</f>
        <v/>
      </c>
      <c r="EJ11" s="80" t="str" cm="1">
        <f t="array" aca="1" ref="EJ11" ca="1">IFERROR(_xlfn._xlws.FILTER(AG9:AG536,($AE$9:$AE$536=$EI$8)*($AN$9:$AN$536&gt;0)),"")</f>
        <v/>
      </c>
      <c r="EK11" s="86" t="str" cm="1">
        <f t="array" aca="1" ref="EK11" ca="1">IFERROR(_xlfn._xlws.FILTER(AH9:AH536,($AE$9:$AE$536=$EI$8)*($AN$9:$AN$536&gt;0)),"")</f>
        <v/>
      </c>
      <c r="EL11" s="81" t="str" cm="1">
        <f t="array" aca="1" ref="EL11" ca="1">IFERROR(_xlfn._xlws.FILTER(AI9:AI536,($AE$9:$AE$536=$EI$8)*($AN$9:$AN$536&gt;0)),"")</f>
        <v/>
      </c>
      <c r="EM11" s="81" t="str" cm="1">
        <f t="array" aca="1" ref="EM11" ca="1">IFERROR(_xlfn._xlws.FILTER(AJ9:AJ536,($AE$9:$AE$536=$EI$8)*($AN$9:$AN$536&gt;0)),"")</f>
        <v/>
      </c>
      <c r="EN11" s="81" t="str" cm="1">
        <f t="array" aca="1" ref="EN11" ca="1">IFERROR(_xlfn._xlws.FILTER(AK9:AK536,($AE$9:$AE$536=$EI$8)*($AN$9:$AN$536&gt;0)),"")</f>
        <v/>
      </c>
      <c r="EO11" s="81" t="str" cm="1">
        <f t="array" aca="1" ref="EO11" ca="1">IFERROR(_xlfn._xlws.FILTER(AL9:AL536,($AE$9:$AE$536=$EI$8)*($AN$9:$AN$536&gt;0)),"")</f>
        <v/>
      </c>
      <c r="EP11" s="82" cm="1">
        <f t="array" aca="1" ref="EP11" ca="1">IFERROR(_xlfn.ANCHORARRAY(EK11)*_xlfn.ANCHORARRAY(EL11)*_xlfn.ANCHORARRAY(EM11)*_xlfn.ANCHORARRAY(EN11)*_xlfn.ANCHORARRAY(EO11),0)</f>
        <v>0</v>
      </c>
      <c r="EQ11" s="87" t="str" cm="1">
        <f t="array" aca="1" ref="EQ11" ca="1">IFERROR(_xlfn._xlws.FILTER(AN9:AN536,($AE$9:$AE$536=$EI$8)*($AN$9:$AN$536&gt;0)),"")</f>
        <v/>
      </c>
      <c r="ER11" s="88" t="str" cm="1">
        <f t="array" aca="1" ref="ER11" ca="1">IFERROR(_xlfn._xlws.FILTER(AO9:AO536,($AE$9:$AE$536=$EI$8)*($AN$9:$AN$536&gt;0)),"")</f>
        <v/>
      </c>
      <c r="ES11" s="88" t="str" cm="1">
        <f t="array" aca="1" ref="ES11" ca="1">IFERROR(_xlfn._xlws.FILTER(AQ9:AQ536,($AE$9:$AE$536=$EI$8)*($AN$9:$AN$536&gt;0)),"")</f>
        <v/>
      </c>
      <c r="EU11" t="str" cm="1">
        <f t="array" aca="1" ref="EU11" ca="1">_xlfn.UNIQUE(_xlfn.ANCHORARRAY(EI11))</f>
        <v/>
      </c>
      <c r="EV11" s="96" cm="1">
        <f t="array" aca="1" ref="EV11" ca="1">SUMIFS(_xlfn.ANCHORARRAY(EP11),_xlfn.ANCHORARRAY($EI$11),_xlfn.ANCHORARRAY($EU$11))</f>
        <v>0</v>
      </c>
      <c r="EY11" t="str" cm="1">
        <f t="array" aca="1" ref="EY11" ca="1">IF(EI8="Optional Project-Level Input",_xlfn.ANCHORARRAY(HA10),_xlfn.SORTBY(_xlfn.ANCHORARRAY(EU11),_xlfn.ANCHORARRAY(EV11),-1))</f>
        <v/>
      </c>
      <c r="EZ11" s="74" t="str" cm="1">
        <f t="array" aca="1" ref="EZ11" ca="1">IF(EI8="Optional Project-Level Input",_xlfn.ANCHORARRAY(HB10),INDEX(_xlfn.ANCHORARRAY(EL11),MATCH(_xlfn.ANCHORARRAY($EY$11),_xlfn.ANCHORARRAY($EI$11),0)))</f>
        <v/>
      </c>
      <c r="FA11" s="74" t="str" cm="1">
        <f t="array" aca="1" ref="FA11" ca="1">IF(EI8="Optional Project-Level Input",_xlfn.ANCHORARRAY(HC10),INDEX(_xlfn.ANCHORARRAY(EM11),MATCH(_xlfn.ANCHORARRAY($EY$11),_xlfn.ANCHORARRAY($EI$11),0)))</f>
        <v/>
      </c>
      <c r="FB11" s="74" t="str" cm="1">
        <f t="array" aca="1" ref="FB11" ca="1">IF(EI8="Optional Project-Level Input",_xlfn.ANCHORARRAY(HD10),INDEX(_xlfn.ANCHORARRAY(EN11),MATCH(_xlfn.ANCHORARRAY($EY$11),_xlfn.ANCHORARRAY($EI$11),0)))</f>
        <v/>
      </c>
      <c r="FC11" s="90" t="e" cm="1">
        <f t="array" aca="1" ref="FC11" ca="1">IF(EI8="Optional Project-Level Input",_xlfn.ANCHORARRAY(HE10),INDEX(_xlfn.ANCHORARRAY(EQ11),MATCH(_xlfn.ANCHORARRAY($EY$11)&amp;"_"&amp;FC$10,_xlfn.ANCHORARRAY($ES$11),0)))</f>
        <v>#N/A</v>
      </c>
      <c r="FD11" s="90" t="e" cm="1">
        <f t="array" aca="1" ref="FD11" ca="1">IF(EI8="Optional Project-Level Input",_xlfn.ANCHORARRAY(HF10),INDEX(_xlfn.ANCHORARRAY(EQ11),MATCH(_xlfn.ANCHORARRAY($EY$11)&amp;"_"&amp;FD$10,_xlfn.ANCHORARRAY($ES$11),0)))</f>
        <v>#N/A</v>
      </c>
      <c r="FE11" s="74" t="e" cm="1">
        <f t="array" aca="1" ref="FE11" ca="1">IF(EI8="Optional Project-Level Input",_xlfn.ANCHORARRAY(HG10),INDEX(_xlfn.ANCHORARRAY($EO$11),MATCH(_xlfn.ANCHORARRAY($EY$11)&amp;"_"&amp;FE$10,_xlfn.ANCHORARRAY($ES$11),0)))</f>
        <v>#N/A</v>
      </c>
      <c r="FF11" s="74" t="e" cm="1">
        <f t="array" aca="1" ref="FF11" ca="1">IF(EI8="Optional Project-Level Input",_xlfn.ANCHORARRAY(HH10),INDEX(_xlfn.ANCHORARRAY($EO$11),MATCH(_xlfn.ANCHORARRAY($EY$11)&amp;"_"&amp;FF$10,_xlfn.ANCHORARRAY($ES$11),0)))</f>
        <v>#N/A</v>
      </c>
      <c r="FG11" s="90" t="e" cm="1">
        <f t="array" aca="1" ref="FG11" ca="1">IF(EI8="Optional Project-Level Input",_xlfn.ANCHORARRAY(HI10),INDEX(_xlfn.ANCHORARRAY($EP$11),MATCH(_xlfn.ANCHORARRAY($EY$11)&amp;"_"&amp;FG$10,_xlfn.ANCHORARRAY($ES$11),0)))</f>
        <v>#N/A</v>
      </c>
      <c r="FH11" s="90" t="e" cm="1">
        <f t="array" aca="1" ref="FH11" ca="1">IF(EI8="Optional Project-Level Input",_xlfn.ANCHORARRAY(HJ10),INDEX(_xlfn.ANCHORARRAY($EP$11),MATCH(_xlfn.ANCHORARRAY($EY$11)&amp;"_"&amp;FH$10,_xlfn.ANCHORARRAY($ES$11),0)))</f>
        <v>#N/A</v>
      </c>
      <c r="FI11" s="74" t="e" cm="1">
        <f t="array" aca="1" ref="FI11" ca="1">IF(EI8="Optional Project-Level Input",_xlfn.ANCHORARRAY(HK10),INDEX(_xlfn.ANCHORARRAY(ER11),MATCH(_xlfn.ANCHORARRAY($EY$11)&amp;"_"&amp;FI$10,_xlfn.ANCHORARRAY($ES$11),0)))</f>
        <v>#N/A</v>
      </c>
      <c r="FJ11" s="74" t="e" cm="1">
        <f t="array" aca="1" ref="FJ11" ca="1">IF(EI8="Optional Project-Level Input",_xlfn.ANCHORARRAY(HL10),INDEX(_xlfn.ANCHORARRAY(ER11),MATCH(_xlfn.ANCHORARRAY($EY$11)&amp;"_"&amp;FJ$10,_xlfn.ANCHORARRAY($ES$11),0)))</f>
        <v>#N/A</v>
      </c>
      <c r="FL11" s="281"/>
      <c r="FQ11" s="72"/>
      <c r="FW11" s="281"/>
      <c r="FX11" t="s">
        <v>26</v>
      </c>
      <c r="FY11" s="17"/>
      <c r="GA11" t="s">
        <v>39</v>
      </c>
      <c r="GC11" s="281"/>
      <c r="GD11" t="str" cm="1">
        <f t="array" ref="GD11:GE17">IF(ISTEXT(_xlfn._xlws.FILTER('Optional Project-Level Input'!B:C,ISNUMBER('Optional Project-Level Input'!$D:$D))),_xlfn._xlws.FILTER('Optional Project-Level Input'!B:C,ISNUMBER('Optional Project-Level Input'!$D:$D)),"")</f>
        <v>Electrical Equipment</v>
      </c>
      <c r="GE11" t="str">
        <v/>
      </c>
      <c r="GF11" s="204" cm="1">
        <f t="array" aca="1" ref="GF11:GF17" ca="1">INDEX('Optional Project-Level Input'!D:D,MATCH(_xlfn.ANCHORARRAY($GT$11),'Optional Project-Level Input'!$B:$B&amp;'Optional Project-Level Input'!$C:$C,0))</f>
        <v>87</v>
      </c>
      <c r="GG11" s="204" cm="1">
        <f t="array" aca="1" ref="GG11:GG17" ca="1">INDEX('Optional Project-Level Input'!E:E,MATCH(_xlfn.ANCHORARRAY($GT$11),'Optional Project-Level Input'!$B:$B&amp;'Optional Project-Level Input'!$C:$C,0))</f>
        <v>76</v>
      </c>
      <c r="GH11" s="210" cm="1">
        <f t="array" aca="1" ref="GH11:GH17" ca="1">_xlfn.SEQUENCE(COUNTA(_xlfn.ANCHORARRAY(GF11)),1,SUM(_xlfn.ANCHORARRAY(GF11)),0)</f>
        <v>582</v>
      </c>
      <c r="GI11" s="210" cm="1">
        <f t="array" aca="1" ref="GI11:GI17" ca="1">_xlfn.SEQUENCE(COUNTA(_xlfn.ANCHORARRAY(GG11)),1,SUM(_xlfn.ANCHORARRAY(GG11)),0)</f>
        <v>587</v>
      </c>
      <c r="GJ11" s="124" cm="1">
        <f t="array" aca="1" ref="GJ11:GJ17" ca="1">_xlfn.ANCHORARRAY(GF11)/_xlfn.ANCHORARRAY(GH11)</f>
        <v>0.14948453608247422</v>
      </c>
      <c r="GK11" s="124" cm="1">
        <f t="array" aca="1" ref="GK11:GK17" ca="1">_xlfn.ANCHORARRAY(GG11)/_xlfn.ANCHORARRAY(GI11)</f>
        <v>0.12947189097103917</v>
      </c>
      <c r="GL11" s="151" cm="1">
        <f t="array" aca="1" ref="GL11:GL17" ca="1">INDEX('Optional Project-Level Input'!H:H,MATCH(_xlfn.ANCHORARRAY($GT$11),'Optional Project-Level Input'!$B:$B&amp;'Optional Project-Level Input'!$C:$C,0))</f>
        <v>0.48556692694591386</v>
      </c>
      <c r="GM11" s="151" cm="1">
        <f t="array" aca="1" ref="GM11:GM17" ca="1">INDEX('Optional Project-Level Input'!I:I,MATCH(_xlfn.ANCHORARRAY($GT$11),'Optional Project-Level Input'!$B:$B&amp;'Optional Project-Level Input'!$C:$C,0))</f>
        <v>0.8</v>
      </c>
      <c r="GN11" s="151" cm="1">
        <f t="array" aca="1" ref="GN11:GN17" ca="1">INDEX('Optional Project-Level Input'!F:F,MATCH(_xlfn.ANCHORARRAY($GT$11),'Optional Project-Level Input'!$B:$B&amp;'Optional Project-Level Input'!$C:$C,0))</f>
        <v>0.25</v>
      </c>
      <c r="GO11" s="151" cm="1">
        <f t="array" aca="1" ref="GO11:GO17" ca="1">INDEX('Optional Project-Level Input'!G:G,MATCH(_xlfn.ANCHORARRAY($GT$11),'Optional Project-Level Input'!$B:$B&amp;'Optional Project-Level Input'!$C:$C,0))</f>
        <v>0.25</v>
      </c>
      <c r="GP11" s="204" cm="1">
        <f t="array" aca="1" ref="GP11:GP17" ca="1">IFERROR(_xlfn.ANCHORARRAY(GF11)*_xlfn.ANCHORARRAY($GL$11)*_xlfn.ANCHORARRAY($GN$11)*_xlfn.ANCHORARRAY($GM11),0)</f>
        <v>8.4488645288589019</v>
      </c>
      <c r="GQ11" s="204" cm="1">
        <f t="array" aca="1" ref="GQ11:GQ17" ca="1">IFERROR(_xlfn.ANCHORARRAY(GG11)*_xlfn.ANCHORARRAY($GL$11)*_xlfn.ANCHORARRAY($GN$11)*_xlfn.ANCHORARRAY($GM11),0)</f>
        <v>7.3806172895778905</v>
      </c>
      <c r="GR11" s="88" cm="1">
        <f t="array" aca="1" ref="GR11:GR17" ca="1">IFERROR(_xlfn.ANCHORARRAY(GP11)/_xlfn.ANCHORARRAY(GF11),"")</f>
        <v>9.711338538918278E-2</v>
      </c>
      <c r="GS11" s="88" cm="1">
        <f t="array" aca="1" ref="GS11:GS17" ca="1">IFERROR(_xlfn.ANCHORARRAY(GQ11)/_xlfn.ANCHORARRAY(GG11),"")</f>
        <v>9.7113385389182766E-2</v>
      </c>
      <c r="GT11" s="88" t="str" cm="1">
        <f t="array" ref="GT11:GT17">_xlfn.DROP(_xlfn.ANCHORARRAY(GD11),,-1)&amp;""&amp;_xlfn.DROP(_xlfn.ANCHORARRAY(GD11),,1)</f>
        <v>Electrical Equipment</v>
      </c>
      <c r="GU11" s="88" t="str" cm="1">
        <f t="array" ref="GU11:GU17">SUBSTITUTE(_xlfn.ANCHORARRAY(GT11),"Other","")</f>
        <v>Electrical Equipment</v>
      </c>
      <c r="GW11" t="str" cm="1">
        <f t="array" ref="GW11:GW17">_xlfn.UNIQUE(_xlfn.ANCHORARRAY(GU11))</f>
        <v>Electrical Equipment</v>
      </c>
      <c r="GX11" s="140" cm="1">
        <f t="array" aca="1" ref="GX11:GX17" ca="1">INDEX($GP$7:$GP$68,MATCH(_xlfn.ANCHORARRAY($GW11),$GU$7:$GU$68,0))+INDEX($GQ$7:$GQ$68,MATCH(_xlfn.ANCHORARRAY($GW11),$GU$7:$GU$68,0))</f>
        <v>15.829481818436793</v>
      </c>
      <c r="GZ11" s="281"/>
      <c r="HA11" t="str">
        <f ca="1"/>
        <v>Electrical Equipment</v>
      </c>
      <c r="HB11" s="122">
        <f ca="1"/>
        <v>0.13947821352675671</v>
      </c>
      <c r="HC11" s="122">
        <f ca="1"/>
        <v>0.48556692694591386</v>
      </c>
      <c r="HD11" s="122">
        <f ca="1"/>
        <v>0.8</v>
      </c>
      <c r="HE11" s="203">
        <f ca="1"/>
        <v>87</v>
      </c>
      <c r="HF11" s="203">
        <f ca="1"/>
        <v>76</v>
      </c>
      <c r="HG11" s="203">
        <f ca="1"/>
        <v>0.25</v>
      </c>
      <c r="HH11" s="203">
        <f ca="1"/>
        <v>0.25</v>
      </c>
      <c r="HI11" s="203">
        <f ca="1"/>
        <v>8.4488645288589019</v>
      </c>
      <c r="HJ11" s="203">
        <f ca="1"/>
        <v>7.3806172895778905</v>
      </c>
      <c r="HK11" s="174">
        <f ca="1"/>
        <v>9.711338538918278E-2</v>
      </c>
      <c r="HL11" s="175">
        <f ca="1"/>
        <v>9.7113385389182766E-2</v>
      </c>
      <c r="HN11" s="281"/>
      <c r="HP11" s="17"/>
      <c r="HR11" s="68"/>
      <c r="HS11" s="72"/>
      <c r="HY11" s="281"/>
      <c r="HZ11" t="str">
        <f ca="1"/>
        <v>New Fire Station on Main Street</v>
      </c>
      <c r="IA11" t="str">
        <f ca="1"/>
        <v>Structural steel</v>
      </c>
      <c r="IB11" s="225">
        <f ca="1"/>
        <v>46082</v>
      </c>
      <c r="IC11" s="202">
        <f ca="1"/>
        <v>582</v>
      </c>
      <c r="ID11" s="74">
        <f ca="1"/>
        <v>0.11855670103092783</v>
      </c>
      <c r="IE11" s="74">
        <f ca="1"/>
        <v>0.52500514810102583</v>
      </c>
      <c r="IF11" s="74">
        <f ca="1"/>
        <v>0.6</v>
      </c>
      <c r="IG11" s="74">
        <f ca="1"/>
        <v>0.25</v>
      </c>
      <c r="IH11" s="201">
        <f ca="1"/>
        <v>5.4338032828456173</v>
      </c>
      <c r="II11" s="202">
        <f ca="1"/>
        <v>69</v>
      </c>
      <c r="IJ11" s="231">
        <f ca="1"/>
        <v>7.8750772215153877E-2</v>
      </c>
    </row>
    <row r="12" spans="2:247" ht="15.6" thickTop="1" thickBot="1">
      <c r="C12" s="281"/>
      <c r="D12" s="287"/>
      <c r="E12" s="157" t="s">
        <v>27</v>
      </c>
      <c r="F12" s="155">
        <v>0.04</v>
      </c>
      <c r="G12" s="155">
        <v>0.02</v>
      </c>
      <c r="H12" s="155">
        <v>0.01</v>
      </c>
      <c r="I12" s="155">
        <v>0.03</v>
      </c>
      <c r="J12" s="155">
        <v>0</v>
      </c>
      <c r="K12" s="155">
        <v>0.16</v>
      </c>
      <c r="L12" s="63">
        <f t="shared" si="0"/>
        <v>0.08</v>
      </c>
      <c r="M12" s="155">
        <v>0.05</v>
      </c>
      <c r="N12" s="155">
        <v>0.05</v>
      </c>
      <c r="O12" s="155">
        <v>0</v>
      </c>
      <c r="P12" s="155">
        <v>0</v>
      </c>
      <c r="Q12" s="155">
        <v>0</v>
      </c>
      <c r="S12" s="287"/>
      <c r="T12" s="158" t="s">
        <v>26</v>
      </c>
      <c r="U12" s="155">
        <v>8.4066217963502693E-2</v>
      </c>
      <c r="W12" s="287"/>
      <c r="X12" s="158" t="s">
        <v>26</v>
      </c>
      <c r="Y12" s="54">
        <v>0.6</v>
      </c>
      <c r="Z12" s="54">
        <f ca="1">IFERROR(INDEX('Core Inputs Interface'!D:D,MATCH($X12,'Core Inputs Interface'!$C:$C,0)),0)</f>
        <v>0.25</v>
      </c>
      <c r="AA12" s="54">
        <f ca="1">IFERROR(INDEX('Core Inputs Interface'!E:E,MATCH($X12,'Core Inputs Interface'!$C:$C,0)),0)</f>
        <v>0.25</v>
      </c>
      <c r="AC12" s="281"/>
      <c r="AE12" s="59" t="str">
        <f t="shared" si="14"/>
        <v>Residential Building - high density</v>
      </c>
      <c r="AF12" s="58" t="s">
        <v>27</v>
      </c>
      <c r="AG12" s="60">
        <f t="shared" si="15"/>
        <v>46082</v>
      </c>
      <c r="AH12" s="79">
        <f ca="1">IFERROR(INDEX('Core Inputs Interface'!$1:$1048576,MATCH($AE12,'Core Inputs Interface'!$H:$H,0),MATCH($AG12,'Core Inputs Interface'!$17:$17,0)),"")</f>
        <v>633</v>
      </c>
      <c r="AI12" s="55">
        <f t="shared" si="8"/>
        <v>0.04</v>
      </c>
      <c r="AJ12" s="55">
        <f t="shared" si="1"/>
        <v>0.52500514810102583</v>
      </c>
      <c r="AK12" s="55">
        <f t="shared" si="2"/>
        <v>0.6</v>
      </c>
      <c r="AL12" s="55">
        <f t="shared" ca="1" si="9"/>
        <v>0.25</v>
      </c>
      <c r="AM12" s="65">
        <f t="shared" ca="1" si="3"/>
        <v>1.9939695524876959</v>
      </c>
      <c r="AN12" s="66">
        <f t="shared" ca="1" si="4"/>
        <v>25.32</v>
      </c>
      <c r="AO12" s="56">
        <f t="shared" ca="1" si="10"/>
        <v>7.8750772215153864E-2</v>
      </c>
      <c r="AP12" t="str">
        <f t="shared" si="5"/>
        <v>Residential Building - high density_46082</v>
      </c>
      <c r="AQ12" t="str">
        <f t="shared" si="6"/>
        <v>Structural steel_46082</v>
      </c>
      <c r="AS12" s="281"/>
      <c r="AT12" t="str">
        <f ca="1"/>
        <v>Non-Residential Building</v>
      </c>
      <c r="AU12" s="68">
        <f t="shared" ca="1" si="7"/>
        <v>127.04928778745342</v>
      </c>
      <c r="AV12" s="68">
        <f t="shared" ca="1" si="7"/>
        <v>133.51725152936012</v>
      </c>
      <c r="AW12" s="68">
        <f t="shared" ca="1" si="11"/>
        <v>260.56653931681353</v>
      </c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O12" s="281"/>
      <c r="DP12">
        <f ca="1"/>
        <v>4</v>
      </c>
      <c r="DQ12" t="str">
        <f ca="1"/>
        <v>Vehicles</v>
      </c>
      <c r="DV12" t="str">
        <f ca="1"/>
        <v>Vehicles</v>
      </c>
      <c r="DW12">
        <f ca="1"/>
        <v>1341</v>
      </c>
      <c r="DX12">
        <f t="shared" ca="1" si="12"/>
        <v>6</v>
      </c>
      <c r="ED12" s="68"/>
      <c r="EG12" s="281"/>
      <c r="EI12" s="85"/>
      <c r="EJ12" s="80"/>
      <c r="EK12" s="86"/>
      <c r="EL12" s="81"/>
      <c r="EM12" s="81"/>
      <c r="EN12" s="81"/>
      <c r="EO12" s="81"/>
      <c r="EP12" s="82"/>
      <c r="EQ12" s="87"/>
      <c r="ER12" s="88"/>
      <c r="EV12" s="96"/>
      <c r="EZ12" s="74"/>
      <c r="FA12" s="74"/>
      <c r="FB12" s="74"/>
      <c r="FC12" s="90"/>
      <c r="FD12" s="90"/>
      <c r="FE12" s="74"/>
      <c r="FF12" s="74"/>
      <c r="FG12" s="90"/>
      <c r="FH12" s="90"/>
      <c r="FI12" s="74"/>
      <c r="FJ12" s="74"/>
      <c r="FL12" s="281"/>
      <c r="FM12" s="143" t="s">
        <v>109</v>
      </c>
      <c r="FN12" s="212" t="e">
        <f ca="1">SUM(_xlfn.ANCHORARRAY(FG11),_xlfn.ANCHORARRAY(FH11))</f>
        <v>#N/A</v>
      </c>
      <c r="FO12" s="68"/>
      <c r="FQ12" s="72"/>
      <c r="FW12" s="281"/>
      <c r="FX12" t="s">
        <v>27</v>
      </c>
      <c r="FY12" s="17"/>
      <c r="GA12" t="s">
        <v>41</v>
      </c>
      <c r="GC12" s="281"/>
      <c r="GD12" t="str">
        <v>Structural steel</v>
      </c>
      <c r="GE12" t="str">
        <v/>
      </c>
      <c r="GF12" s="204">
        <f ca="1"/>
        <v>69</v>
      </c>
      <c r="GG12" s="204">
        <f ca="1"/>
        <v>90</v>
      </c>
      <c r="GH12" s="210">
        <f ca="1"/>
        <v>582</v>
      </c>
      <c r="GI12" s="210">
        <f ca="1"/>
        <v>587</v>
      </c>
      <c r="GJ12" s="124">
        <f ca="1"/>
        <v>0.11855670103092783</v>
      </c>
      <c r="GK12" s="124">
        <f ca="1"/>
        <v>0.15332197614991483</v>
      </c>
      <c r="GL12" s="81">
        <f ca="1"/>
        <v>0.52500514810102583</v>
      </c>
      <c r="GM12" s="81">
        <f ca="1"/>
        <v>0.6</v>
      </c>
      <c r="GN12" s="81">
        <f ca="1"/>
        <v>0.25</v>
      </c>
      <c r="GO12" s="81">
        <f ca="1"/>
        <v>0.25</v>
      </c>
      <c r="GP12" s="204">
        <f ca="1"/>
        <v>5.4338032828456173</v>
      </c>
      <c r="GQ12" s="204">
        <f ca="1"/>
        <v>7.0875694993638492</v>
      </c>
      <c r="GR12" s="88">
        <f ca="1"/>
        <v>7.8750772215153877E-2</v>
      </c>
      <c r="GS12" s="88">
        <f ca="1"/>
        <v>7.8750772215153877E-2</v>
      </c>
      <c r="GT12" t="str">
        <v>Structural steel</v>
      </c>
      <c r="GU12" t="str">
        <v>Structural steel</v>
      </c>
      <c r="GW12" t="str">
        <v>Structural steel</v>
      </c>
      <c r="GX12" s="140">
        <f ca="1"/>
        <v>12.521372782209466</v>
      </c>
      <c r="GZ12" s="281"/>
      <c r="HA12" t="str">
        <f ca="1"/>
        <v>Structural steel</v>
      </c>
      <c r="HB12" s="122">
        <f ca="1"/>
        <v>0.13593933859042134</v>
      </c>
      <c r="HC12" s="122">
        <f ca="1"/>
        <v>0.52500514810102583</v>
      </c>
      <c r="HD12" s="122">
        <f ca="1"/>
        <v>0.6</v>
      </c>
      <c r="HE12" s="203">
        <f ca="1"/>
        <v>69</v>
      </c>
      <c r="HF12" s="203">
        <f ca="1"/>
        <v>90</v>
      </c>
      <c r="HG12" s="203">
        <f ca="1"/>
        <v>0.25</v>
      </c>
      <c r="HH12" s="203">
        <f ca="1"/>
        <v>0.25</v>
      </c>
      <c r="HI12" s="203">
        <f ca="1"/>
        <v>5.4338032828456173</v>
      </c>
      <c r="HJ12" s="203">
        <f ca="1"/>
        <v>7.0875694993638492</v>
      </c>
      <c r="HK12" s="174">
        <f ca="1"/>
        <v>7.8750772215153877E-2</v>
      </c>
      <c r="HL12" s="175">
        <f ca="1"/>
        <v>7.8750772215153877E-2</v>
      </c>
      <c r="HN12" s="281"/>
      <c r="HO12" t="s">
        <v>109</v>
      </c>
      <c r="HP12" s="126">
        <f ca="1">SUM(_xlfn.ANCHORARRAY(HI10),_xlfn.ANCHORARRAY(HJ10))</f>
        <v>67.443857458077332</v>
      </c>
      <c r="HQ12" s="68"/>
      <c r="HS12" s="75" t="str">
        <f ca="1">_xlfn.CONCAT("Based on the input assumptions, total capital expenditure across FY26 and FY27 is expected to increase by approximately $",IF(HP12=HP13,_xlfn.CONCAT(TEXT(HP13,"0"),"mn"),_xlfn.CONCAT(TEXT(HP13,"0.00"),"bn")),", from $",IF(HP9=HP10,_xlfn.CONCAT(TEXT(HP10,"0"),"mn"),_xlfn.CONCAT(TEXT(HP10,"0.00"),"bn"))," to $",IF(HP14=HP15,_xlfn.CONCAT(TEXT(HP15,"0"),"mn"),_xlfn.CONCAT(TEXT(HP15,"0.00"),"bn")))</f>
        <v>Based on the input assumptions, total capital expenditure across FY26 and FY27 is expected to increase by approximately $67mn, from $1.17bn to $1.24bn</v>
      </c>
      <c r="HT12" s="75"/>
      <c r="HU12" s="75"/>
      <c r="HV12" s="75"/>
      <c r="HW12" s="75"/>
      <c r="HY12" s="281"/>
      <c r="HZ12" t="str">
        <f ca="1"/>
        <v>New Fire Station on Main Street</v>
      </c>
      <c r="IA12" t="str">
        <f ca="1"/>
        <v>Plant and equipment</v>
      </c>
      <c r="IB12" s="225">
        <f ca="1"/>
        <v>46082</v>
      </c>
      <c r="IC12" s="202">
        <f ca="1"/>
        <v>582</v>
      </c>
      <c r="ID12" s="74">
        <f ca="1"/>
        <v>0.12542955326460481</v>
      </c>
      <c r="IE12" s="74">
        <f ca="1"/>
        <v>0.31546495432215926</v>
      </c>
      <c r="IF12" s="74">
        <f ca="1"/>
        <v>0.8</v>
      </c>
      <c r="IG12" s="74">
        <f ca="1"/>
        <v>0.25</v>
      </c>
      <c r="IH12" s="201">
        <f ca="1"/>
        <v>4.6057883331035248</v>
      </c>
      <c r="II12" s="202">
        <f ca="1"/>
        <v>73</v>
      </c>
      <c r="IJ12" s="231">
        <f ca="1"/>
        <v>6.3092990864431847E-2</v>
      </c>
    </row>
    <row r="13" spans="2:247" ht="15.6" thickTop="1" thickBot="1">
      <c r="C13" s="281"/>
      <c r="D13" s="287"/>
      <c r="E13" s="157" t="s">
        <v>28</v>
      </c>
      <c r="F13" s="155">
        <v>0</v>
      </c>
      <c r="G13" s="155">
        <v>0</v>
      </c>
      <c r="H13" s="155">
        <v>0</v>
      </c>
      <c r="I13" s="155">
        <v>0</v>
      </c>
      <c r="J13" s="155">
        <v>0.04</v>
      </c>
      <c r="K13" s="155">
        <v>0</v>
      </c>
      <c r="L13" s="63">
        <f t="shared" si="0"/>
        <v>0.02</v>
      </c>
      <c r="M13" s="155">
        <v>0</v>
      </c>
      <c r="N13" s="155">
        <v>0</v>
      </c>
      <c r="O13" s="155">
        <v>0</v>
      </c>
      <c r="P13" s="155">
        <v>0</v>
      </c>
      <c r="Q13" s="155">
        <v>0</v>
      </c>
      <c r="S13" s="287"/>
      <c r="T13" s="158" t="s">
        <v>27</v>
      </c>
      <c r="U13" s="155">
        <v>0.52500514810102583</v>
      </c>
      <c r="W13" s="287"/>
      <c r="X13" s="158" t="s">
        <v>27</v>
      </c>
      <c r="Y13" s="54">
        <v>0.6</v>
      </c>
      <c r="Z13" s="54">
        <f ca="1">IFERROR(INDEX('Core Inputs Interface'!D:D,MATCH($X13,'Core Inputs Interface'!$C:$C,0)),0)</f>
        <v>0.25</v>
      </c>
      <c r="AA13" s="54">
        <f ca="1">IFERROR(INDEX('Core Inputs Interface'!E:E,MATCH($X13,'Core Inputs Interface'!$C:$C,0)),0)</f>
        <v>0.25</v>
      </c>
      <c r="AC13" s="281"/>
      <c r="AE13" s="59" t="str">
        <f t="shared" si="14"/>
        <v>Residential Building - high density</v>
      </c>
      <c r="AF13" s="58" t="s">
        <v>28</v>
      </c>
      <c r="AG13" s="60">
        <f t="shared" si="15"/>
        <v>46082</v>
      </c>
      <c r="AH13" s="79">
        <f ca="1">IFERROR(INDEX('Core Inputs Interface'!$1:$1048576,MATCH($AE13,'Core Inputs Interface'!$H:$H,0),MATCH($AG13,'Core Inputs Interface'!$17:$17,0)),"")</f>
        <v>633</v>
      </c>
      <c r="AI13" s="55">
        <f t="shared" si="8"/>
        <v>0</v>
      </c>
      <c r="AJ13" s="55">
        <f t="shared" si="1"/>
        <v>9.1004090556242881E-2</v>
      </c>
      <c r="AK13" s="55">
        <f t="shared" si="2"/>
        <v>0.6</v>
      </c>
      <c r="AL13" s="55">
        <f t="shared" ca="1" si="9"/>
        <v>0.25</v>
      </c>
      <c r="AM13" s="65">
        <f t="shared" ca="1" si="3"/>
        <v>0</v>
      </c>
      <c r="AN13" s="66">
        <f t="shared" ca="1" si="4"/>
        <v>0</v>
      </c>
      <c r="AO13" s="56">
        <f t="shared" ca="1" si="10"/>
        <v>0</v>
      </c>
      <c r="AP13" t="str">
        <f t="shared" si="5"/>
        <v>Residential Building - high density_46082</v>
      </c>
      <c r="AQ13" t="str">
        <f t="shared" si="6"/>
        <v>Quarry Material_46082</v>
      </c>
      <c r="AS13" s="281"/>
      <c r="AT13" t="str">
        <f ca="1"/>
        <v>Roads</v>
      </c>
      <c r="AU13" s="68">
        <f t="shared" ca="1" si="7"/>
        <v>132.33963525174752</v>
      </c>
      <c r="AV13" s="68">
        <f t="shared" ca="1" si="7"/>
        <v>139.08200871595585</v>
      </c>
      <c r="AW13" s="68">
        <f t="shared" ca="1" si="11"/>
        <v>271.4216439677034</v>
      </c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O13" s="281"/>
      <c r="DP13">
        <f ca="1"/>
        <v>5</v>
      </c>
      <c r="DQ13" t="str">
        <f ca="1"/>
        <v>Water assets</v>
      </c>
      <c r="DV13" t="str">
        <f ca="1"/>
        <v>Water assets</v>
      </c>
      <c r="DW13">
        <f ca="1"/>
        <v>5435</v>
      </c>
      <c r="DX13">
        <f t="shared" ca="1" si="12"/>
        <v>4</v>
      </c>
      <c r="EA13" s="143" t="s">
        <v>109</v>
      </c>
      <c r="EB13" s="214">
        <f ca="1">AW22</f>
        <v>1104.7816848210791</v>
      </c>
      <c r="EC13" s="68"/>
      <c r="EE13" s="75" t="str">
        <f ca="1">_xlfn.CONCAT("Based on the input assumptions, total capital expenditure across FY26 and FY27 is expected to increase by approximately $",IF(EB13=EB14,_xlfn.CONCAT(TEXT(EB14,"0"),"mn"),_xlfn.CONCAT(TEXT(EB14,"0.00"),"bn")),", from $",IF(EB9=EB10,_xlfn.CONCAT(TEXT(EB10,"0"),"mn"),_xlfn.CONCAT(TEXT(EB10,"0.00"),"bn"))," to $",IF(EB15=EB16,_xlfn.CONCAT(TEXT(EB16,"0"),"mn"),_xlfn.CONCAT(TEXT(EB16,"0.00"),"bn")))</f>
        <v>Based on the input assumptions, total capital expenditure across FY26 and FY27 is expected to increase by approximately $1.10bn, from $52.50bn to $53.60bn</v>
      </c>
      <c r="EG13" s="281"/>
      <c r="EI13" s="85"/>
      <c r="EJ13" s="80"/>
      <c r="EK13" s="86"/>
      <c r="EL13" s="81"/>
      <c r="EM13" s="81"/>
      <c r="EN13" s="81"/>
      <c r="EO13" s="81"/>
      <c r="EP13" s="82"/>
      <c r="EQ13" s="87"/>
      <c r="ER13" s="88"/>
      <c r="EV13" s="96"/>
      <c r="EZ13" s="74"/>
      <c r="FA13" s="74"/>
      <c r="FB13" s="74"/>
      <c r="FC13" s="90"/>
      <c r="FD13" s="90"/>
      <c r="FE13" s="74"/>
      <c r="FF13" s="74"/>
      <c r="FG13" s="90"/>
      <c r="FH13" s="90"/>
      <c r="FI13" s="74"/>
      <c r="FJ13" s="74"/>
      <c r="FL13" s="281"/>
      <c r="FM13" s="143" t="s">
        <v>131</v>
      </c>
      <c r="FN13" s="126" t="e">
        <f ca="1">IF(FN12&gt;1000,FN12/1000,FN12)</f>
        <v>#N/A</v>
      </c>
      <c r="FQ13" s="75" t="e">
        <f ca="1">_xlfn.CONCAT("Based on the input assumptions, total capital expenditure across FY26 and FY27 is expected to increase by approximately $",IF(FN12=FN13,_xlfn.CONCAT(TEXT(FN13,"0"),"mn"),_xlfn.CONCAT(TEXT(FN13,"0.00"),"bn")),", from $",IF(FN9=FN10,_xlfn.CONCAT(TEXT(FN10,"0"),"mn"),_xlfn.CONCAT(TEXT(FN10,"0.00"),"bn"))," to $",IF(FN14=FN15,_xlfn.CONCAT(TEXT(FN15,"0"),"mn"),_xlfn.CONCAT(TEXT(FN15,"0.00"),"bn")))</f>
        <v>#N/A</v>
      </c>
      <c r="FR13" s="75"/>
      <c r="FS13" s="75"/>
      <c r="FT13" s="75"/>
      <c r="FU13" s="75"/>
      <c r="FW13" s="281"/>
      <c r="FX13" t="s">
        <v>28</v>
      </c>
      <c r="FY13" s="17"/>
      <c r="GA13" t="s">
        <v>43</v>
      </c>
      <c r="GC13" s="281"/>
      <c r="GD13" t="str">
        <v>Plant and equipment</v>
      </c>
      <c r="GE13" t="str">
        <v/>
      </c>
      <c r="GF13" s="204">
        <f ca="1"/>
        <v>73</v>
      </c>
      <c r="GG13" s="204">
        <f ca="1"/>
        <v>51</v>
      </c>
      <c r="GH13" s="210">
        <f ca="1"/>
        <v>582</v>
      </c>
      <c r="GI13" s="210">
        <f ca="1"/>
        <v>587</v>
      </c>
      <c r="GJ13" s="124">
        <f ca="1"/>
        <v>0.12542955326460481</v>
      </c>
      <c r="GK13" s="124">
        <f ca="1"/>
        <v>8.6882453151618397E-2</v>
      </c>
      <c r="GL13" s="81">
        <f ca="1"/>
        <v>0.31546495432215926</v>
      </c>
      <c r="GM13" s="81">
        <f ca="1"/>
        <v>0.8</v>
      </c>
      <c r="GN13" s="81">
        <f ca="1"/>
        <v>0.25</v>
      </c>
      <c r="GO13" s="81">
        <f ca="1"/>
        <v>0.25</v>
      </c>
      <c r="GP13" s="204">
        <f ca="1"/>
        <v>4.6057883331035248</v>
      </c>
      <c r="GQ13" s="204">
        <f ca="1"/>
        <v>3.2177425340860246</v>
      </c>
      <c r="GR13" s="88">
        <f ca="1"/>
        <v>6.3092990864431847E-2</v>
      </c>
      <c r="GS13" s="88">
        <f ca="1"/>
        <v>6.3092990864431861E-2</v>
      </c>
      <c r="GT13" t="str">
        <v>Plant and equipment</v>
      </c>
      <c r="GU13" t="str">
        <v>Plant and equipment</v>
      </c>
      <c r="GW13" t="str">
        <v>Plant and equipment</v>
      </c>
      <c r="GX13" s="140">
        <f ca="1"/>
        <v>7.8235308671895494</v>
      </c>
      <c r="GZ13" s="281"/>
      <c r="HA13" t="str">
        <f ca="1"/>
        <v>Plant and equipment</v>
      </c>
      <c r="HB13" s="122">
        <f ca="1"/>
        <v>0.10615600320811161</v>
      </c>
      <c r="HC13" s="122">
        <f ca="1"/>
        <v>0.31546495432215926</v>
      </c>
      <c r="HD13" s="122">
        <f ca="1"/>
        <v>0.8</v>
      </c>
      <c r="HE13" s="203">
        <f ca="1"/>
        <v>73</v>
      </c>
      <c r="HF13" s="203">
        <f ca="1"/>
        <v>51</v>
      </c>
      <c r="HG13" s="203">
        <f ca="1"/>
        <v>0.25</v>
      </c>
      <c r="HH13" s="203">
        <f ca="1"/>
        <v>0.25</v>
      </c>
      <c r="HI13" s="203">
        <f ca="1"/>
        <v>4.6057883331035248</v>
      </c>
      <c r="HJ13" s="203">
        <f ca="1"/>
        <v>3.2177425340860246</v>
      </c>
      <c r="HK13" s="174">
        <f ca="1"/>
        <v>6.3092990864431847E-2</v>
      </c>
      <c r="HL13" s="175">
        <f ca="1"/>
        <v>6.3092990864431861E-2</v>
      </c>
      <c r="HN13" s="281"/>
      <c r="HO13" t="s">
        <v>131</v>
      </c>
      <c r="HP13" s="126">
        <f ca="1">IF(HP12&gt;1000,HP12/1000,HP12)</f>
        <v>67.443857458077332</v>
      </c>
      <c r="HY13" s="281"/>
      <c r="HZ13" t="str">
        <f ca="1"/>
        <v>New Fire Station on Main Street</v>
      </c>
      <c r="IA13" t="str">
        <f ca="1"/>
        <v>Diesel</v>
      </c>
      <c r="IB13" s="225">
        <f ca="1"/>
        <v>46082</v>
      </c>
      <c r="IC13" s="202">
        <f ca="1"/>
        <v>582</v>
      </c>
      <c r="ID13" s="74">
        <f ca="1"/>
        <v>0.16151202749140894</v>
      </c>
      <c r="IE13" s="74">
        <f ca="1"/>
        <v>0.45356302165418505</v>
      </c>
      <c r="IF13" s="74">
        <f ca="1"/>
        <v>0.6</v>
      </c>
      <c r="IG13" s="74">
        <f ca="1"/>
        <v>0.1</v>
      </c>
      <c r="IH13" s="201">
        <f ca="1"/>
        <v>2.5580954421296038</v>
      </c>
      <c r="II13" s="202">
        <f ca="1"/>
        <v>94</v>
      </c>
      <c r="IJ13" s="231">
        <f ca="1"/>
        <v>2.7213781299251106E-2</v>
      </c>
    </row>
    <row r="14" spans="2:247" ht="15.6" thickTop="1" thickBot="1">
      <c r="C14" s="281"/>
      <c r="D14" s="287"/>
      <c r="E14" s="157" t="s">
        <v>30</v>
      </c>
      <c r="F14" s="155">
        <v>0.1</v>
      </c>
      <c r="G14" s="155">
        <v>0.04</v>
      </c>
      <c r="H14" s="155">
        <v>0.04</v>
      </c>
      <c r="I14" s="155">
        <v>0.1</v>
      </c>
      <c r="J14" s="155">
        <v>0.05</v>
      </c>
      <c r="K14" s="155">
        <v>0</v>
      </c>
      <c r="L14" s="63">
        <f t="shared" si="0"/>
        <v>2.5000000000000001E-2</v>
      </c>
      <c r="M14" s="155">
        <v>0.05</v>
      </c>
      <c r="N14" s="155">
        <v>0.12</v>
      </c>
      <c r="O14" s="155">
        <v>0</v>
      </c>
      <c r="P14" s="155">
        <v>0</v>
      </c>
      <c r="Q14" s="155">
        <v>0</v>
      </c>
      <c r="S14" s="287"/>
      <c r="T14" s="158" t="s">
        <v>28</v>
      </c>
      <c r="U14" s="155">
        <v>9.1004090556242881E-2</v>
      </c>
      <c r="W14" s="287"/>
      <c r="X14" s="158" t="s">
        <v>28</v>
      </c>
      <c r="Y14" s="54">
        <v>0.6</v>
      </c>
      <c r="Z14" s="54">
        <f ca="1">IFERROR(INDEX('Core Inputs Interface'!D:D,MATCH($X14,'Core Inputs Interface'!$C:$C,0)),0)</f>
        <v>0.25</v>
      </c>
      <c r="AA14" s="54">
        <f ca="1">IFERROR(INDEX('Core Inputs Interface'!E:E,MATCH($X14,'Core Inputs Interface'!$C:$C,0)),0)</f>
        <v>0.25</v>
      </c>
      <c r="AC14" s="281"/>
      <c r="AE14" s="59" t="str">
        <f t="shared" si="14"/>
        <v>Residential Building - high density</v>
      </c>
      <c r="AF14" s="58" t="s">
        <v>30</v>
      </c>
      <c r="AG14" s="60">
        <f t="shared" si="15"/>
        <v>46082</v>
      </c>
      <c r="AH14" s="79">
        <f ca="1">IFERROR(INDEX('Core Inputs Interface'!$1:$1048576,MATCH($AE14,'Core Inputs Interface'!$H:$H,0),MATCH($AG14,'Core Inputs Interface'!$17:$17,0)),"")</f>
        <v>633</v>
      </c>
      <c r="AI14" s="55">
        <f t="shared" si="8"/>
        <v>0.1</v>
      </c>
      <c r="AJ14" s="55">
        <f t="shared" si="1"/>
        <v>1.1472584695084088E-2</v>
      </c>
      <c r="AK14" s="55">
        <f t="shared" si="2"/>
        <v>0.6</v>
      </c>
      <c r="AL14" s="55">
        <f t="shared" ca="1" si="9"/>
        <v>0.25</v>
      </c>
      <c r="AM14" s="65">
        <f t="shared" ca="1" si="3"/>
        <v>0.10893219167982342</v>
      </c>
      <c r="AN14" s="66">
        <f t="shared" ca="1" si="4"/>
        <v>63.300000000000004</v>
      </c>
      <c r="AO14" s="56">
        <f t="shared" ca="1" si="10"/>
        <v>1.720887704262613E-3</v>
      </c>
      <c r="AP14" t="str">
        <f t="shared" si="5"/>
        <v>Residential Building - high density_46082</v>
      </c>
      <c r="AQ14" t="str">
        <f t="shared" si="6"/>
        <v>Concrete_46082</v>
      </c>
      <c r="AS14" s="281"/>
      <c r="AT14" t="str">
        <f ca="1"/>
        <v>Bridges &amp; Culverts</v>
      </c>
      <c r="AU14" s="68">
        <f t="shared" ca="1" si="7"/>
        <v>19.217618783374533</v>
      </c>
      <c r="AV14" s="68">
        <f t="shared" ca="1" si="7"/>
        <v>20.184807474879154</v>
      </c>
      <c r="AW14" s="68">
        <f t="shared" ca="1" si="11"/>
        <v>39.402426258253683</v>
      </c>
      <c r="AZ14" s="147" t="s">
        <v>62</v>
      </c>
      <c r="BA14" t="str" cm="1">
        <f t="array" aca="1" ref="BA14:BV14" ca="1">_xlfn.HSTACK(_xlfn._xlws.FILTER(_xlfn.ANCHORARRAY(BA8),_xlfn.ANCHORARRAY(BA9)&gt;0),_xlfn._xlws.FILTER(_xlfn.ANCHORARRAY(BO8),_xlfn.ANCHORARRAY($BO$9)&gt;0))</f>
        <v>Roads</v>
      </c>
      <c r="BB14" t="str">
        <f ca="1"/>
        <v>Non-Residential Building</v>
      </c>
      <c r="BC14" t="str">
        <f ca="1"/>
        <v>Storm/Sanitary Sewers</v>
      </c>
      <c r="BD14" t="str">
        <f ca="1"/>
        <v>Vehicles</v>
      </c>
      <c r="BE14" t="str">
        <f ca="1"/>
        <v>Water assets</v>
      </c>
      <c r="BF14" t="str">
        <f ca="1"/>
        <v>New Fire Station on Main Street</v>
      </c>
      <c r="BG14" t="str">
        <f ca="1"/>
        <v>Bridges &amp; Culverts</v>
      </c>
      <c r="BH14" t="str">
        <f ca="1"/>
        <v>Residential Building - high density</v>
      </c>
      <c r="BI14" t="str">
        <f ca="1"/>
        <v>Residential Building - medium density</v>
      </c>
      <c r="BJ14" t="str">
        <f ca="1"/>
        <v>Residential Building - low density</v>
      </c>
      <c r="BK14" t="str">
        <f ca="1"/>
        <v>Total</v>
      </c>
      <c r="BL14" t="str">
        <f ca="1"/>
        <v>Roads</v>
      </c>
      <c r="BM14" t="str">
        <f ca="1"/>
        <v>Non-Residential Building</v>
      </c>
      <c r="BN14" t="str">
        <f ca="1"/>
        <v>Storm/Sanitary Sewers</v>
      </c>
      <c r="BO14" t="str">
        <f ca="1"/>
        <v>Vehicles</v>
      </c>
      <c r="BP14" t="str">
        <f ca="1"/>
        <v>Water assets</v>
      </c>
      <c r="BQ14" t="str">
        <f ca="1"/>
        <v>New Fire Station on Main Street</v>
      </c>
      <c r="BR14" t="str">
        <f ca="1"/>
        <v>Bridges &amp; Culverts</v>
      </c>
      <c r="BS14" t="str">
        <f ca="1"/>
        <v>Residential Building - high density</v>
      </c>
      <c r="BT14" t="str">
        <f ca="1"/>
        <v>Residential Building - medium density</v>
      </c>
      <c r="BU14" s="68" t="str">
        <f ca="1"/>
        <v>Residential Building - low density</v>
      </c>
      <c r="BV14" s="68" t="str">
        <f ca="1"/>
        <v>Total</v>
      </c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O14" s="281"/>
      <c r="DP14">
        <f ca="1"/>
        <v>6</v>
      </c>
      <c r="DQ14" t="str">
        <f ca="1"/>
        <v>New Fire Station on Main Street</v>
      </c>
      <c r="DV14" t="str">
        <f ca="1"/>
        <v>New Fire Station on Main Street</v>
      </c>
      <c r="DW14">
        <f ca="1"/>
        <v>1169</v>
      </c>
      <c r="DX14">
        <f t="shared" ca="1" si="12"/>
        <v>8</v>
      </c>
      <c r="EA14" s="143" t="s">
        <v>131</v>
      </c>
      <c r="EB14" s="214">
        <f ca="1">IF(EB13&gt;1000,EB13/1000,EB13)</f>
        <v>1.1047816848210792</v>
      </c>
      <c r="EG14" s="281"/>
      <c r="EI14" s="85"/>
      <c r="EJ14" s="80"/>
      <c r="EK14" s="86"/>
      <c r="EL14" s="81"/>
      <c r="EM14" s="81"/>
      <c r="EN14" s="81"/>
      <c r="EO14" s="81"/>
      <c r="EP14" s="82"/>
      <c r="EQ14" s="87"/>
      <c r="ER14" s="88"/>
      <c r="EV14" s="96"/>
      <c r="EZ14" s="74"/>
      <c r="FA14" s="74"/>
      <c r="FB14" s="74"/>
      <c r="FC14" s="90"/>
      <c r="FD14" s="90"/>
      <c r="FE14" s="74"/>
      <c r="FF14" s="74"/>
      <c r="FG14" s="90"/>
      <c r="FH14" s="90"/>
      <c r="FI14" s="74"/>
      <c r="FJ14" s="74"/>
      <c r="FL14" s="281"/>
      <c r="FM14" s="143" t="s">
        <v>110</v>
      </c>
      <c r="FN14" s="212" t="e">
        <f ca="1">SUM(FN9,FN12)</f>
        <v>#N/A</v>
      </c>
      <c r="FO14" s="68"/>
      <c r="FW14" s="281"/>
      <c r="FX14" t="s">
        <v>30</v>
      </c>
      <c r="FY14" s="17"/>
      <c r="GA14" t="s">
        <v>45</v>
      </c>
      <c r="GC14" s="281"/>
      <c r="GD14" t="str">
        <v>Diesel</v>
      </c>
      <c r="GE14" t="str">
        <v/>
      </c>
      <c r="GF14" s="204">
        <f ca="1"/>
        <v>94</v>
      </c>
      <c r="GG14" s="204">
        <f ca="1"/>
        <v>91</v>
      </c>
      <c r="GH14" s="210">
        <f ca="1"/>
        <v>582</v>
      </c>
      <c r="GI14" s="210">
        <f ca="1"/>
        <v>587</v>
      </c>
      <c r="GJ14" s="124">
        <f ca="1"/>
        <v>0.16151202749140894</v>
      </c>
      <c r="GK14" s="124">
        <f ca="1"/>
        <v>0.15502555366269166</v>
      </c>
      <c r="GL14" s="81">
        <f ca="1"/>
        <v>0.45356302165418505</v>
      </c>
      <c r="GM14" s="81">
        <f ca="1"/>
        <v>0.6</v>
      </c>
      <c r="GN14" s="81">
        <f ca="1"/>
        <v>0.1</v>
      </c>
      <c r="GO14" s="81">
        <f ca="1"/>
        <v>0.1</v>
      </c>
      <c r="GP14" s="204">
        <f ca="1"/>
        <v>2.5580954421296038</v>
      </c>
      <c r="GQ14" s="204">
        <f ca="1"/>
        <v>2.4764540982318506</v>
      </c>
      <c r="GR14" s="88">
        <f ca="1"/>
        <v>2.7213781299251106E-2</v>
      </c>
      <c r="GS14" s="88">
        <f ca="1"/>
        <v>2.7213781299251106E-2</v>
      </c>
      <c r="GT14" t="str">
        <v>Diesel</v>
      </c>
      <c r="GU14" t="str">
        <v>Diesel</v>
      </c>
      <c r="GW14" t="str">
        <v>Diesel</v>
      </c>
      <c r="GX14" s="140">
        <f ca="1"/>
        <v>5.0345495403614544</v>
      </c>
      <c r="GZ14" s="281"/>
      <c r="HA14" t="str">
        <f ca="1"/>
        <v>Diesel</v>
      </c>
      <c r="HB14" s="122">
        <f ca="1"/>
        <v>0.15826879057705029</v>
      </c>
      <c r="HC14" s="122">
        <f ca="1"/>
        <v>0.45356302165418505</v>
      </c>
      <c r="HD14" s="122">
        <f ca="1"/>
        <v>0.6</v>
      </c>
      <c r="HE14" s="203">
        <f ca="1"/>
        <v>94</v>
      </c>
      <c r="HF14" s="203">
        <f ca="1"/>
        <v>91</v>
      </c>
      <c r="HG14" s="203">
        <f ca="1"/>
        <v>0.1</v>
      </c>
      <c r="HH14" s="203">
        <f ca="1"/>
        <v>0.1</v>
      </c>
      <c r="HI14" s="203">
        <f ca="1"/>
        <v>2.5580954421296038</v>
      </c>
      <c r="HJ14" s="203">
        <f ca="1"/>
        <v>2.4764540982318506</v>
      </c>
      <c r="HK14" s="174">
        <f ca="1"/>
        <v>2.7213781299251106E-2</v>
      </c>
      <c r="HL14" s="175">
        <f ca="1"/>
        <v>2.7213781299251106E-2</v>
      </c>
      <c r="HN14" s="281"/>
      <c r="HO14" t="s">
        <v>110</v>
      </c>
      <c r="HP14" s="126">
        <f ca="1">SUM(HP9,HP12)</f>
        <v>1236.4438574580772</v>
      </c>
      <c r="HQ14" s="68"/>
      <c r="HY14" s="281"/>
      <c r="HZ14" t="str">
        <f ca="1"/>
        <v>New Fire Station on Main Street</v>
      </c>
      <c r="IA14" t="str">
        <f ca="1"/>
        <v>Concrete</v>
      </c>
      <c r="IB14" s="225">
        <f ca="1"/>
        <v>46082</v>
      </c>
      <c r="IC14" s="202">
        <f ca="1"/>
        <v>582</v>
      </c>
      <c r="ID14" s="74">
        <f ca="1"/>
        <v>0.1563573883161512</v>
      </c>
      <c r="IE14" s="74">
        <f ca="1"/>
        <v>1.1472584695084088E-2</v>
      </c>
      <c r="IF14" s="74">
        <f ca="1"/>
        <v>0.6</v>
      </c>
      <c r="IG14" s="74">
        <f ca="1"/>
        <v>0.25</v>
      </c>
      <c r="IH14" s="201">
        <f ca="1"/>
        <v>0.15660078108789779</v>
      </c>
      <c r="II14" s="202">
        <f ca="1"/>
        <v>91</v>
      </c>
      <c r="IJ14" s="231">
        <f ca="1"/>
        <v>1.7208877042626132E-3</v>
      </c>
    </row>
    <row r="15" spans="2:247" ht="15.6" thickTop="1" thickBot="1">
      <c r="C15" s="281"/>
      <c r="D15" s="287"/>
      <c r="E15" s="157" t="s">
        <v>32</v>
      </c>
      <c r="F15" s="155">
        <v>0.01</v>
      </c>
      <c r="G15" s="155">
        <v>0.02</v>
      </c>
      <c r="H15" s="155">
        <v>0.03</v>
      </c>
      <c r="I15" s="155">
        <v>0.02</v>
      </c>
      <c r="J15" s="155">
        <v>0</v>
      </c>
      <c r="K15" s="155">
        <v>0</v>
      </c>
      <c r="L15" s="63">
        <f t="shared" si="0"/>
        <v>0</v>
      </c>
      <c r="M15" s="155">
        <v>0</v>
      </c>
      <c r="N15" s="155">
        <v>0</v>
      </c>
      <c r="O15" s="155">
        <v>0</v>
      </c>
      <c r="P15" s="155">
        <v>0</v>
      </c>
      <c r="Q15" s="155">
        <v>0</v>
      </c>
      <c r="S15" s="287"/>
      <c r="T15" s="158" t="s">
        <v>30</v>
      </c>
      <c r="U15" s="155">
        <v>1.1472584695084088E-2</v>
      </c>
      <c r="W15" s="287"/>
      <c r="X15" s="158" t="s">
        <v>30</v>
      </c>
      <c r="Y15" s="54">
        <v>0.6</v>
      </c>
      <c r="Z15" s="54">
        <f ca="1">IFERROR(INDEX('Core Inputs Interface'!D:D,MATCH($X15,'Core Inputs Interface'!$C:$C,0)),0)</f>
        <v>0.25</v>
      </c>
      <c r="AA15" s="54">
        <f ca="1">IFERROR(INDEX('Core Inputs Interface'!E:E,MATCH($X15,'Core Inputs Interface'!$C:$C,0)),0)</f>
        <v>0.25</v>
      </c>
      <c r="AC15" s="281"/>
      <c r="AE15" s="59" t="str">
        <f t="shared" si="14"/>
        <v>Residential Building - high density</v>
      </c>
      <c r="AF15" s="57" t="s">
        <v>32</v>
      </c>
      <c r="AG15" s="60">
        <f t="shared" si="15"/>
        <v>46082</v>
      </c>
      <c r="AH15" s="79">
        <f ca="1">IFERROR(INDEX('Core Inputs Interface'!$1:$1048576,MATCH($AE15,'Core Inputs Interface'!$H:$H,0),MATCH($AG15,'Core Inputs Interface'!$17:$17,0)),"")</f>
        <v>633</v>
      </c>
      <c r="AI15" s="55">
        <f t="shared" si="8"/>
        <v>0.01</v>
      </c>
      <c r="AJ15" s="55">
        <f t="shared" si="1"/>
        <v>9.8410961434768088E-2</v>
      </c>
      <c r="AK15" s="55">
        <f t="shared" si="2"/>
        <v>0.6</v>
      </c>
      <c r="AL15" s="55">
        <f t="shared" ca="1" si="9"/>
        <v>0.25</v>
      </c>
      <c r="AM15" s="65">
        <f t="shared" ca="1" si="3"/>
        <v>9.3441207882312305E-2</v>
      </c>
      <c r="AN15" s="66">
        <f t="shared" ca="1" si="4"/>
        <v>6.33</v>
      </c>
      <c r="AO15" s="56">
        <f t="shared" ca="1" si="10"/>
        <v>1.4761644215215215E-2</v>
      </c>
      <c r="AP15" t="str">
        <f t="shared" si="5"/>
        <v>Residential Building - high density_46082</v>
      </c>
      <c r="AQ15" t="str">
        <f t="shared" si="6"/>
        <v>Masonry_46082</v>
      </c>
      <c r="AS15" s="281"/>
      <c r="AT15" t="str">
        <f ca="1"/>
        <v>Other Transport</v>
      </c>
      <c r="AU15" s="68">
        <f t="shared" ca="1" si="7"/>
        <v>0</v>
      </c>
      <c r="AV15" s="68">
        <f t="shared" ca="1" si="7"/>
        <v>0</v>
      </c>
      <c r="AW15" s="68">
        <f t="shared" ca="1" si="11"/>
        <v>0</v>
      </c>
      <c r="AZ15" s="148" t="s">
        <v>101</v>
      </c>
      <c r="BA15" s="68" cm="1">
        <f t="array" aca="1" ref="BA15:BV15" ca="1">_xlfn.HSTACK(_xlfn._xlws.FILTER(_xlfn.ANCHORARRAY(BA9),_xlfn.ANCHORARRAY($BA$9)&gt;0),_xlfn._xlws.FILTER(_xlfn.ANCHORARRAY(BO9),_xlfn.ANCHORARRAY($BO$9)&gt;0))</f>
        <v>132.33963525174752</v>
      </c>
      <c r="BB15" s="68">
        <f ca="1"/>
        <v>127.04928778745342</v>
      </c>
      <c r="BC15" s="68">
        <f ca="1"/>
        <v>86.623464644801558</v>
      </c>
      <c r="BD15" s="68">
        <f ca="1"/>
        <v>68.605997078039351</v>
      </c>
      <c r="BE15" s="68">
        <f ca="1"/>
        <v>55.255058764829506</v>
      </c>
      <c r="BF15" s="68">
        <f ca="1"/>
        <v>32.243152368025548</v>
      </c>
      <c r="BG15" s="68">
        <f ca="1"/>
        <v>19.217618783374533</v>
      </c>
      <c r="BH15" s="68">
        <f ca="1"/>
        <v>13.347867729407699</v>
      </c>
      <c r="BI15" s="68">
        <f ca="1"/>
        <v>2.6463317706686116</v>
      </c>
      <c r="BJ15" s="68">
        <f ca="1"/>
        <v>0.24883094444844525</v>
      </c>
      <c r="BK15" s="68">
        <f ca="1"/>
        <v>537.57724512279628</v>
      </c>
      <c r="BL15" s="68">
        <f ca="1"/>
        <v>139.08200871595585</v>
      </c>
      <c r="BM15" s="68">
        <f ca="1"/>
        <v>133.51725152936012</v>
      </c>
      <c r="BN15" s="68">
        <f ca="1"/>
        <v>91.056526805740646</v>
      </c>
      <c r="BO15" s="68">
        <f ca="1"/>
        <v>72.067767572802794</v>
      </c>
      <c r="BP15" s="68">
        <f ca="1"/>
        <v>58.069939117000061</v>
      </c>
      <c r="BQ15" s="68">
        <f ca="1"/>
        <v>35.200705090051777</v>
      </c>
      <c r="BR15" s="68">
        <f ca="1"/>
        <v>20.184807474879154</v>
      </c>
      <c r="BS15" s="68">
        <f ca="1"/>
        <v>14.802848571949768</v>
      </c>
      <c r="BT15" s="68">
        <f ca="1"/>
        <v>2.9382065983158849</v>
      </c>
      <c r="BU15" s="68">
        <f ca="1"/>
        <v>0.28437822222679454</v>
      </c>
      <c r="BV15" s="68">
        <f ca="1"/>
        <v>567.20443969828284</v>
      </c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O15" s="281"/>
      <c r="DP15">
        <f ca="1"/>
        <v>7</v>
      </c>
      <c r="DQ15" t="str">
        <f ca="1"/>
        <v>Bridges &amp; Culverts</v>
      </c>
      <c r="DV15" t="str">
        <f ca="1"/>
        <v>Bridges &amp; Culverts</v>
      </c>
      <c r="DW15">
        <f ca="1"/>
        <v>1873.9999999999998</v>
      </c>
      <c r="DX15">
        <f t="shared" ca="1" si="12"/>
        <v>5</v>
      </c>
      <c r="EA15" s="143" t="s">
        <v>110</v>
      </c>
      <c r="EB15" s="214">
        <f ca="1">SUM(EB9,EB13)</f>
        <v>53601.781684821079</v>
      </c>
      <c r="EC15" s="68"/>
      <c r="EG15" s="281"/>
      <c r="EI15" s="85"/>
      <c r="EJ15" s="80"/>
      <c r="EK15" s="86"/>
      <c r="EL15" s="81"/>
      <c r="EM15" s="81"/>
      <c r="EN15" s="81"/>
      <c r="EO15" s="81"/>
      <c r="EP15" s="82"/>
      <c r="EQ15" s="87"/>
      <c r="ER15" s="88"/>
      <c r="EV15" s="96"/>
      <c r="EZ15" s="74"/>
      <c r="FA15" s="74"/>
      <c r="FB15" s="74"/>
      <c r="FC15" s="90"/>
      <c r="FD15" s="90"/>
      <c r="FE15" s="74"/>
      <c r="FF15" s="74"/>
      <c r="FG15" s="90"/>
      <c r="FH15" s="90"/>
      <c r="FI15" s="74"/>
      <c r="FJ15" s="74"/>
      <c r="FL15" s="281"/>
      <c r="FM15" s="143" t="s">
        <v>130</v>
      </c>
      <c r="FN15" s="126" t="e">
        <f ca="1">IF(FN14&gt;1000,FN14/1000,FN14)</f>
        <v>#N/A</v>
      </c>
      <c r="FQ15" s="75" t="str">
        <f>IF(FO17=0,"",_xlfn.CONCAT("The bulk of the expenditure increase is expected to come from ",FN17," and ",FO17,"."))</f>
        <v/>
      </c>
      <c r="FR15" s="75"/>
      <c r="FS15" s="75"/>
      <c r="FT15" s="75"/>
      <c r="FU15" s="75"/>
      <c r="FW15" s="281"/>
      <c r="FX15" t="s">
        <v>32</v>
      </c>
      <c r="FY15" s="17"/>
      <c r="GA15" t="s">
        <v>47</v>
      </c>
      <c r="GC15" s="281"/>
      <c r="GD15" t="str">
        <v>Concrete</v>
      </c>
      <c r="GE15" t="str">
        <v/>
      </c>
      <c r="GF15" s="204">
        <f ca="1"/>
        <v>91</v>
      </c>
      <c r="GG15" s="204">
        <f ca="1"/>
        <v>92</v>
      </c>
      <c r="GH15" s="210">
        <f ca="1"/>
        <v>582</v>
      </c>
      <c r="GI15" s="210">
        <f ca="1"/>
        <v>587</v>
      </c>
      <c r="GJ15" s="124">
        <f ca="1"/>
        <v>0.1563573883161512</v>
      </c>
      <c r="GK15" s="124">
        <f ca="1"/>
        <v>0.15672913117546849</v>
      </c>
      <c r="GL15" s="81">
        <f ca="1"/>
        <v>1.1472584695084088E-2</v>
      </c>
      <c r="GM15" s="81">
        <f ca="1"/>
        <v>0.6</v>
      </c>
      <c r="GN15" s="81">
        <f ca="1"/>
        <v>0.25</v>
      </c>
      <c r="GO15" s="81">
        <f ca="1"/>
        <v>0.25</v>
      </c>
      <c r="GP15" s="204">
        <f ca="1"/>
        <v>0.15660078108789779</v>
      </c>
      <c r="GQ15" s="204">
        <f ca="1"/>
        <v>0.15832166879216039</v>
      </c>
      <c r="GR15" s="88">
        <f ca="1"/>
        <v>1.7208877042626132E-3</v>
      </c>
      <c r="GS15" s="88">
        <f ca="1"/>
        <v>1.720887704262613E-3</v>
      </c>
      <c r="GT15" t="str">
        <v>Concrete</v>
      </c>
      <c r="GU15" t="str">
        <v>Concrete</v>
      </c>
      <c r="GW15" t="str">
        <v>Concrete</v>
      </c>
      <c r="GX15" s="140">
        <f ca="1"/>
        <v>0.31492244988005819</v>
      </c>
      <c r="GZ15" s="281"/>
      <c r="HA15" t="str">
        <f ca="1"/>
        <v>Concrete</v>
      </c>
      <c r="HB15" s="122">
        <f ca="1"/>
        <v>0.15654325974580985</v>
      </c>
      <c r="HC15" s="122">
        <f ca="1"/>
        <v>1.1472584695084088E-2</v>
      </c>
      <c r="HD15" s="122">
        <f ca="1"/>
        <v>0.6</v>
      </c>
      <c r="HE15" s="203">
        <f ca="1"/>
        <v>91</v>
      </c>
      <c r="HF15" s="203">
        <f ca="1"/>
        <v>92</v>
      </c>
      <c r="HG15" s="203">
        <f ca="1"/>
        <v>0.25</v>
      </c>
      <c r="HH15" s="203">
        <f ca="1"/>
        <v>0.25</v>
      </c>
      <c r="HI15" s="203">
        <f ca="1"/>
        <v>0.15660078108789779</v>
      </c>
      <c r="HJ15" s="203">
        <f ca="1"/>
        <v>0.15832166879216039</v>
      </c>
      <c r="HK15" s="174">
        <f ca="1"/>
        <v>1.7208877042626132E-3</v>
      </c>
      <c r="HL15" s="175">
        <f ca="1"/>
        <v>1.720887704262613E-3</v>
      </c>
      <c r="HN15" s="281"/>
      <c r="HO15" t="s">
        <v>130</v>
      </c>
      <c r="HP15" s="126">
        <f ca="1">IF(HP14&gt;1000,HP14/1000,HP14)</f>
        <v>1.2364438574580772</v>
      </c>
      <c r="HS15" s="75" t="str">
        <f ca="1">IF(HQ17=0,"",_xlfn.CONCAT("The bulk of the expenditure increase is expected to come from ",HP17," and ",HQ17,"."))</f>
        <v>The bulk of the expenditure increase is expected to come from Firetrucks and Electrical Equipment.</v>
      </c>
      <c r="HT15" s="75"/>
      <c r="HU15" s="75"/>
      <c r="HV15" s="75"/>
      <c r="HW15" s="75"/>
      <c r="HY15" s="281"/>
      <c r="HZ15" t="str">
        <f ca="1"/>
        <v>New Fire Station on Main Street</v>
      </c>
      <c r="IA15" t="str">
        <f ca="1"/>
        <v>Labour</v>
      </c>
      <c r="IB15" s="225">
        <f ca="1"/>
        <v>46082</v>
      </c>
      <c r="IC15" s="202">
        <f ca="1"/>
        <v>582</v>
      </c>
      <c r="ID15" s="74">
        <f ca="1"/>
        <v>0.17010309278350516</v>
      </c>
      <c r="IE15" s="74" t="str">
        <f ca="1"/>
        <v>N/A</v>
      </c>
      <c r="IF15" s="74" t="str">
        <f ca="1"/>
        <v>N/A</v>
      </c>
      <c r="IG15" s="74" t="str">
        <f ca="1"/>
        <v>N/A</v>
      </c>
      <c r="IH15" s="201">
        <f ca="1"/>
        <v>0</v>
      </c>
      <c r="II15" s="202">
        <f ca="1"/>
        <v>99</v>
      </c>
      <c r="IJ15" s="231">
        <f ca="1"/>
        <v>0</v>
      </c>
    </row>
    <row r="16" spans="2:247" ht="15.6" thickTop="1" thickBot="1">
      <c r="C16" s="281"/>
      <c r="D16" s="287"/>
      <c r="E16" s="157" t="s">
        <v>34</v>
      </c>
      <c r="F16" s="155">
        <v>0.01</v>
      </c>
      <c r="G16" s="155">
        <v>0.18</v>
      </c>
      <c r="H16" s="155">
        <v>0.2</v>
      </c>
      <c r="I16" s="155">
        <v>1.4999999999999999E-2</v>
      </c>
      <c r="J16" s="155">
        <v>0</v>
      </c>
      <c r="K16" s="155">
        <v>0</v>
      </c>
      <c r="L16" s="63">
        <f t="shared" si="0"/>
        <v>0</v>
      </c>
      <c r="M16" s="155">
        <v>0</v>
      </c>
      <c r="N16" s="155">
        <v>0</v>
      </c>
      <c r="O16" s="155">
        <v>0</v>
      </c>
      <c r="P16" s="155">
        <v>0</v>
      </c>
      <c r="Q16" s="155">
        <v>0</v>
      </c>
      <c r="S16" s="287"/>
      <c r="T16" s="158" t="s">
        <v>32</v>
      </c>
      <c r="U16" s="155">
        <v>9.8410961434768088E-2</v>
      </c>
      <c r="W16" s="287"/>
      <c r="X16" s="158" t="s">
        <v>32</v>
      </c>
      <c r="Y16" s="54">
        <v>0.6</v>
      </c>
      <c r="Z16" s="54">
        <f ca="1">IFERROR(INDEX('Core Inputs Interface'!D:D,MATCH($X16,'Core Inputs Interface'!$C:$C,0)),0)</f>
        <v>0.25</v>
      </c>
      <c r="AA16" s="54">
        <f ca="1">IFERROR(INDEX('Core Inputs Interface'!E:E,MATCH($X16,'Core Inputs Interface'!$C:$C,0)),0)</f>
        <v>0.25</v>
      </c>
      <c r="AC16" s="281"/>
      <c r="AE16" s="59" t="str">
        <f t="shared" si="14"/>
        <v>Residential Building - high density</v>
      </c>
      <c r="AF16" s="57" t="s">
        <v>34</v>
      </c>
      <c r="AG16" s="60">
        <f t="shared" si="15"/>
        <v>46082</v>
      </c>
      <c r="AH16" s="79">
        <f ca="1">IFERROR(INDEX('Core Inputs Interface'!$1:$1048576,MATCH($AE16,'Core Inputs Interface'!$H:$H,0),MATCH($AG16,'Core Inputs Interface'!$17:$17,0)),"")</f>
        <v>633</v>
      </c>
      <c r="AI16" s="55">
        <f t="shared" si="8"/>
        <v>0.01</v>
      </c>
      <c r="AJ16" s="55">
        <f t="shared" si="1"/>
        <v>0.13840817436677436</v>
      </c>
      <c r="AK16" s="55">
        <f t="shared" si="2"/>
        <v>0.6</v>
      </c>
      <c r="AL16" s="55">
        <f t="shared" ca="1" si="9"/>
        <v>0.25</v>
      </c>
      <c r="AM16" s="65">
        <f t="shared" ca="1" si="3"/>
        <v>0.13141856156125226</v>
      </c>
      <c r="AN16" s="66">
        <f t="shared" ca="1" si="4"/>
        <v>6.33</v>
      </c>
      <c r="AO16" s="56">
        <f t="shared" ca="1" si="10"/>
        <v>2.0761226155016153E-2</v>
      </c>
      <c r="AP16" t="str">
        <f t="shared" si="5"/>
        <v>Residential Building - high density_46082</v>
      </c>
      <c r="AQ16" t="str">
        <f t="shared" si="6"/>
        <v>Wood_46082</v>
      </c>
      <c r="AS16" s="281"/>
      <c r="AT16" t="str">
        <f ca="1"/>
        <v>Water assets</v>
      </c>
      <c r="AU16" s="68">
        <f t="shared" ca="1" si="7"/>
        <v>55.255058764829506</v>
      </c>
      <c r="AV16" s="68">
        <f t="shared" ca="1" si="7"/>
        <v>58.069939117000061</v>
      </c>
      <c r="AW16" s="68">
        <f t="shared" ca="1" si="11"/>
        <v>113.32499788182957</v>
      </c>
      <c r="AZ16" s="148" t="s">
        <v>104</v>
      </c>
      <c r="BA16" s="68" cm="1">
        <f t="array" aca="1" ref="BA16:BV16" ca="1">_xlfn.HSTACK(_xlfn._xlws.FILTER(_xlfn.ANCHORARRAY(BA10),_xlfn.ANCHORARRAY($BA$9)&gt;0),_xlfn._xlws.FILTER(_xlfn.ANCHORARRAY(BO10),_xlfn.ANCHORARRAY($BO$9)&gt;0))</f>
        <v>0</v>
      </c>
      <c r="BB16" s="68">
        <f ca="1"/>
        <v>132.33963525174752</v>
      </c>
      <c r="BC16" s="68">
        <f ca="1"/>
        <v>259.38892303920096</v>
      </c>
      <c r="BD16" s="68">
        <f ca="1"/>
        <v>346.01238768400253</v>
      </c>
      <c r="BE16" s="68">
        <f ca="1"/>
        <v>414.6183847620419</v>
      </c>
      <c r="BF16" s="68">
        <f ca="1"/>
        <v>469.87344352687143</v>
      </c>
      <c r="BG16" s="68">
        <f ca="1"/>
        <v>502.11659589489699</v>
      </c>
      <c r="BH16" s="68">
        <f ca="1"/>
        <v>521.33421467827156</v>
      </c>
      <c r="BI16" s="68">
        <f ca="1"/>
        <v>534.68208240767922</v>
      </c>
      <c r="BJ16" s="68">
        <f ca="1"/>
        <v>537.32841417834788</v>
      </c>
      <c r="BK16" s="68" t="str">
        <f ca="1"/>
        <v/>
      </c>
      <c r="BL16" s="68">
        <f ca="1"/>
        <v>0</v>
      </c>
      <c r="BM16" s="68">
        <f ca="1"/>
        <v>139.08200871595585</v>
      </c>
      <c r="BN16" s="68">
        <f ca="1"/>
        <v>272.59926024531597</v>
      </c>
      <c r="BO16" s="68">
        <f ca="1"/>
        <v>363.65578705105662</v>
      </c>
      <c r="BP16" s="68">
        <f ca="1"/>
        <v>435.7235546238594</v>
      </c>
      <c r="BQ16" s="68">
        <f ca="1"/>
        <v>493.79349374085945</v>
      </c>
      <c r="BR16" s="68">
        <f ca="1"/>
        <v>528.99419883091127</v>
      </c>
      <c r="BS16" s="68">
        <f ca="1"/>
        <v>549.17900630579038</v>
      </c>
      <c r="BT16" s="68">
        <f ca="1"/>
        <v>563.98185487774015</v>
      </c>
      <c r="BU16" s="68">
        <f ca="1"/>
        <v>566.92006147605605</v>
      </c>
      <c r="BV16" s="68" t="str">
        <f ca="1"/>
        <v/>
      </c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O16" s="281"/>
      <c r="DP16">
        <f ca="1"/>
        <v>8</v>
      </c>
      <c r="DQ16" t="str">
        <f ca="1"/>
        <v>Residential Building - high density</v>
      </c>
      <c r="DV16" t="str">
        <f ca="1"/>
        <v>Residential Building - high density</v>
      </c>
      <c r="DW16">
        <f ca="1"/>
        <v>1334.9999999999998</v>
      </c>
      <c r="DX16">
        <f t="shared" ca="1" si="12"/>
        <v>7</v>
      </c>
      <c r="EA16" s="143" t="s">
        <v>130</v>
      </c>
      <c r="EB16" s="214">
        <f ca="1">IF(EB15&gt;1000,EB15/1000,EB15)</f>
        <v>53.601781684821077</v>
      </c>
      <c r="EG16" s="281"/>
      <c r="EI16" s="85"/>
      <c r="EJ16" s="80"/>
      <c r="EK16" s="86"/>
      <c r="EL16" s="81"/>
      <c r="EM16" s="81"/>
      <c r="EN16" s="81"/>
      <c r="EO16" s="81"/>
      <c r="EP16" s="82"/>
      <c r="EQ16" s="87"/>
      <c r="ER16" s="88"/>
      <c r="EV16" s="96"/>
      <c r="EZ16" s="74"/>
      <c r="FA16" s="74"/>
      <c r="FB16" s="74"/>
      <c r="FC16" s="90"/>
      <c r="FD16" s="90"/>
      <c r="FE16" s="74"/>
      <c r="FF16" s="74"/>
      <c r="FG16" s="90"/>
      <c r="FH16" s="90"/>
      <c r="FI16" s="74"/>
      <c r="FJ16" s="74"/>
      <c r="FL16" s="281"/>
      <c r="FW16" s="281"/>
      <c r="FX16" t="s">
        <v>34</v>
      </c>
      <c r="FY16" s="17"/>
      <c r="GA16" t="s">
        <v>49</v>
      </c>
      <c r="GC16" s="281"/>
      <c r="GD16" t="str">
        <v>Labour</v>
      </c>
      <c r="GE16" t="str">
        <v/>
      </c>
      <c r="GF16" s="204">
        <f ca="1"/>
        <v>99</v>
      </c>
      <c r="GG16" s="204">
        <f ca="1"/>
        <v>94</v>
      </c>
      <c r="GH16" s="210">
        <f ca="1"/>
        <v>582</v>
      </c>
      <c r="GI16" s="210">
        <f ca="1"/>
        <v>587</v>
      </c>
      <c r="GJ16" s="124">
        <f ca="1"/>
        <v>0.17010309278350516</v>
      </c>
      <c r="GK16" s="124">
        <f ca="1"/>
        <v>0.16013628620102216</v>
      </c>
      <c r="GL16" s="81" t="str">
        <f ca="1"/>
        <v>N/A</v>
      </c>
      <c r="GM16" s="81" t="str">
        <f ca="1"/>
        <v>N/A</v>
      </c>
      <c r="GN16" s="81" t="str">
        <f ca="1"/>
        <v>N/A</v>
      </c>
      <c r="GO16" s="81" t="str">
        <f ca="1"/>
        <v>N/A</v>
      </c>
      <c r="GP16" s="204">
        <f ca="1"/>
        <v>0</v>
      </c>
      <c r="GQ16" s="204">
        <f ca="1"/>
        <v>0</v>
      </c>
      <c r="GR16" s="88">
        <f ca="1"/>
        <v>0</v>
      </c>
      <c r="GS16" s="88">
        <f ca="1"/>
        <v>0</v>
      </c>
      <c r="GT16" t="str">
        <v>Labour</v>
      </c>
      <c r="GU16" t="str">
        <v>Labour</v>
      </c>
      <c r="GW16" t="str">
        <v>Labour</v>
      </c>
      <c r="GX16" s="140">
        <f ca="1"/>
        <v>0</v>
      </c>
      <c r="GZ16" s="281"/>
      <c r="HA16" t="str">
        <f ca="1"/>
        <v>Labour</v>
      </c>
      <c r="HB16" s="122">
        <f ca="1"/>
        <v>0.16511968949226366</v>
      </c>
      <c r="HC16" s="74" t="str">
        <f ca="1"/>
        <v>N/A</v>
      </c>
      <c r="HD16" s="74" t="str">
        <f ca="1"/>
        <v>N/A</v>
      </c>
      <c r="HE16" s="203">
        <f ca="1"/>
        <v>99</v>
      </c>
      <c r="HF16" s="203">
        <f ca="1"/>
        <v>94</v>
      </c>
      <c r="HG16" s="203" t="str">
        <f ca="1"/>
        <v>N/A</v>
      </c>
      <c r="HH16" s="203" t="str">
        <f ca="1"/>
        <v>N/A</v>
      </c>
      <c r="HI16" s="203">
        <f ca="1"/>
        <v>0</v>
      </c>
      <c r="HJ16" s="203">
        <f ca="1"/>
        <v>0</v>
      </c>
      <c r="HK16" s="174">
        <f ca="1"/>
        <v>0</v>
      </c>
      <c r="HL16" s="175">
        <f ca="1"/>
        <v>0</v>
      </c>
      <c r="HN16" s="281"/>
      <c r="HP16" s="17"/>
      <c r="HY16" s="281"/>
      <c r="HZ16" t="str">
        <f ca="1"/>
        <v>New Fire Station on Main Street</v>
      </c>
      <c r="IA16" t="str">
        <f ca="1"/>
        <v>Firetrucks</v>
      </c>
      <c r="IB16" s="225">
        <f ca="1"/>
        <v>46447</v>
      </c>
      <c r="IC16" s="202">
        <f ca="1"/>
        <v>587</v>
      </c>
      <c r="ID16" s="74">
        <f ca="1"/>
        <v>0.15843270868824533</v>
      </c>
      <c r="IE16" s="74">
        <f ca="1"/>
        <v>0.8</v>
      </c>
      <c r="IF16" s="74">
        <f ca="1"/>
        <v>0.8</v>
      </c>
      <c r="IG16" s="74">
        <f ca="1"/>
        <v>0.25</v>
      </c>
      <c r="IH16" s="201">
        <f ca="1"/>
        <v>14.880000000000003</v>
      </c>
      <c r="II16" s="202">
        <f ca="1"/>
        <v>93</v>
      </c>
      <c r="IJ16" s="231">
        <f ca="1"/>
        <v>0.16000000000000003</v>
      </c>
    </row>
    <row r="17" spans="3:244" ht="15.6" thickTop="1" thickBot="1">
      <c r="C17" s="281"/>
      <c r="D17" s="287"/>
      <c r="E17" s="157" t="s">
        <v>36</v>
      </c>
      <c r="F17" s="155">
        <v>0.02</v>
      </c>
      <c r="G17" s="155">
        <v>0.02</v>
      </c>
      <c r="H17" s="155">
        <v>0.02</v>
      </c>
      <c r="I17" s="155">
        <v>0.03</v>
      </c>
      <c r="J17" s="155">
        <v>0.02</v>
      </c>
      <c r="K17" s="155">
        <v>0</v>
      </c>
      <c r="L17" s="63">
        <f t="shared" si="0"/>
        <v>0.01</v>
      </c>
      <c r="M17" s="155">
        <v>0.01</v>
      </c>
      <c r="N17" s="155">
        <v>0.01</v>
      </c>
      <c r="O17" s="155">
        <v>0</v>
      </c>
      <c r="P17" s="155">
        <v>0</v>
      </c>
      <c r="Q17" s="155">
        <v>0</v>
      </c>
      <c r="S17" s="287"/>
      <c r="T17" s="158" t="s">
        <v>34</v>
      </c>
      <c r="U17" s="155">
        <v>0.13840817436677436</v>
      </c>
      <c r="W17" s="287"/>
      <c r="X17" s="158" t="s">
        <v>34</v>
      </c>
      <c r="Y17" s="54">
        <v>0.6</v>
      </c>
      <c r="Z17" s="54">
        <f ca="1">IFERROR(INDEX('Core Inputs Interface'!D:D,MATCH($X17,'Core Inputs Interface'!$C:$C,0)),0)</f>
        <v>0.25</v>
      </c>
      <c r="AA17" s="54">
        <f ca="1">IFERROR(INDEX('Core Inputs Interface'!E:E,MATCH($X17,'Core Inputs Interface'!$C:$C,0)),0)</f>
        <v>0.25</v>
      </c>
      <c r="AC17" s="281"/>
      <c r="AE17" s="59" t="str">
        <f t="shared" si="14"/>
        <v>Residential Building - high density</v>
      </c>
      <c r="AF17" s="57" t="s">
        <v>36</v>
      </c>
      <c r="AG17" s="60">
        <f t="shared" si="15"/>
        <v>46082</v>
      </c>
      <c r="AH17" s="79">
        <f ca="1">IFERROR(INDEX('Core Inputs Interface'!$1:$1048576,MATCH($AE17,'Core Inputs Interface'!$H:$H,0),MATCH($AG17,'Core Inputs Interface'!$17:$17,0)),"")</f>
        <v>633</v>
      </c>
      <c r="AI17" s="55">
        <f t="shared" si="8"/>
        <v>0.02</v>
      </c>
      <c r="AJ17" s="55">
        <f t="shared" si="1"/>
        <v>0.80654510583379313</v>
      </c>
      <c r="AK17" s="55">
        <f t="shared" si="2"/>
        <v>0.6</v>
      </c>
      <c r="AL17" s="55">
        <f t="shared" ca="1" si="9"/>
        <v>0.25</v>
      </c>
      <c r="AM17" s="65">
        <f t="shared" ca="1" si="3"/>
        <v>1.5316291559783732</v>
      </c>
      <c r="AN17" s="66">
        <f t="shared" ca="1" si="4"/>
        <v>12.66</v>
      </c>
      <c r="AO17" s="56">
        <f t="shared" ca="1" si="10"/>
        <v>0.12098176587506898</v>
      </c>
      <c r="AP17" t="str">
        <f t="shared" si="5"/>
        <v>Residential Building - high density_46082</v>
      </c>
      <c r="AQ17" t="str">
        <f t="shared" si="6"/>
        <v>Electrical wire_46082</v>
      </c>
      <c r="AS17" s="281"/>
      <c r="AT17" t="str">
        <f ca="1"/>
        <v>Storm/Sanitary Sewers</v>
      </c>
      <c r="AU17" s="68">
        <f t="shared" ca="1" si="7"/>
        <v>86.623464644801558</v>
      </c>
      <c r="AV17" s="68">
        <f t="shared" ca="1" si="7"/>
        <v>91.056526805740646</v>
      </c>
      <c r="AW17" s="68">
        <f t="shared" ca="1" si="11"/>
        <v>177.67999145054222</v>
      </c>
      <c r="AZ17" s="148" t="s">
        <v>76</v>
      </c>
      <c r="BA17" s="68" cm="1">
        <f t="array" aca="1" ref="BA17:BV17" ca="1">_xlfn.HSTACK(_xlfn._xlws.FILTER(_xlfn.ANCHORARRAY(BA11),_xlfn.ANCHORARRAY($BA$9)&gt;0),_xlfn._xlws.FILTER(_xlfn.ANCHORARRAY(BO11),_xlfn.ANCHORARRAY($BO$9)&gt;0))</f>
        <v>132.33963525174752</v>
      </c>
      <c r="BB17" s="68">
        <f ca="1"/>
        <v>259.38892303920096</v>
      </c>
      <c r="BC17" s="68">
        <f ca="1"/>
        <v>346.01238768400253</v>
      </c>
      <c r="BD17" s="68">
        <f ca="1"/>
        <v>414.6183847620419</v>
      </c>
      <c r="BE17" s="68">
        <f ca="1"/>
        <v>469.87344352687143</v>
      </c>
      <c r="BF17" s="68">
        <f ca="1"/>
        <v>502.11659589489699</v>
      </c>
      <c r="BG17" s="68">
        <f ca="1"/>
        <v>521.33421467827156</v>
      </c>
      <c r="BH17" s="68">
        <f ca="1"/>
        <v>534.68208240767922</v>
      </c>
      <c r="BI17" s="68">
        <f ca="1"/>
        <v>537.32841417834788</v>
      </c>
      <c r="BJ17" s="68">
        <f ca="1"/>
        <v>537.57724512279628</v>
      </c>
      <c r="BK17" s="68" t="str">
        <f ca="1"/>
        <v/>
      </c>
      <c r="BL17" s="68">
        <f ca="1"/>
        <v>139.08200871595585</v>
      </c>
      <c r="BM17" s="68">
        <f ca="1"/>
        <v>272.59926024531597</v>
      </c>
      <c r="BN17" s="68">
        <f ca="1"/>
        <v>363.65578705105662</v>
      </c>
      <c r="BO17" s="68">
        <f ca="1"/>
        <v>435.7235546238594</v>
      </c>
      <c r="BP17" s="68">
        <f ca="1"/>
        <v>493.79349374085945</v>
      </c>
      <c r="BQ17" s="68">
        <f ca="1"/>
        <v>528.99419883091127</v>
      </c>
      <c r="BR17" s="68">
        <f ca="1"/>
        <v>549.17900630579038</v>
      </c>
      <c r="BS17" s="68">
        <f ca="1"/>
        <v>563.98185487774015</v>
      </c>
      <c r="BT17" s="68">
        <f ca="1"/>
        <v>566.92006147605605</v>
      </c>
      <c r="BU17" s="68">
        <f ca="1"/>
        <v>567.20443969828284</v>
      </c>
      <c r="BV17" s="68" t="str">
        <f ca="1"/>
        <v/>
      </c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O17" s="281"/>
      <c r="DP17">
        <f ca="1"/>
        <v>9</v>
      </c>
      <c r="DQ17" t="str">
        <f ca="1"/>
        <v>Residential Building - medium density</v>
      </c>
      <c r="DV17" t="str">
        <f ca="1"/>
        <v>Residential Building - medium density</v>
      </c>
      <c r="DW17">
        <f ca="1"/>
        <v>287.00000000000006</v>
      </c>
      <c r="DX17">
        <f t="shared" ca="1" si="12"/>
        <v>9</v>
      </c>
      <c r="EE17" s="75" t="str">
        <f ca="1">_xlfn.CONCAT("The bulk of the expenditure increase is expected to come from ",DQ9," and ",DQ10,".")</f>
        <v>The bulk of the expenditure increase is expected to come from Roads and Non-Residential Building.</v>
      </c>
      <c r="EG17" s="281"/>
      <c r="EI17" s="85"/>
      <c r="EJ17" s="80"/>
      <c r="EK17" s="86"/>
      <c r="EL17" s="81"/>
      <c r="EM17" s="81"/>
      <c r="EN17" s="81"/>
      <c r="EO17" s="81"/>
      <c r="EP17" s="82"/>
      <c r="EQ17" s="87"/>
      <c r="ER17" s="88"/>
      <c r="EV17" s="96"/>
      <c r="EZ17" s="74"/>
      <c r="FA17" s="74"/>
      <c r="FB17" s="74"/>
      <c r="FC17" s="90"/>
      <c r="FD17" s="90"/>
      <c r="FE17" s="74"/>
      <c r="FF17" s="74"/>
      <c r="FG17" s="90"/>
      <c r="FH17" s="90"/>
      <c r="FI17" s="74"/>
      <c r="FJ17" s="74"/>
      <c r="FL17" s="281"/>
      <c r="FM17" s="143" t="s">
        <v>111</v>
      </c>
      <c r="FN17" s="125" t="str">
        <f ca="1">EY11</f>
        <v/>
      </c>
      <c r="FO17" s="75">
        <f>EY12</f>
        <v>0</v>
      </c>
      <c r="FW17" s="281"/>
      <c r="FX17" t="s">
        <v>36</v>
      </c>
      <c r="FY17" s="17"/>
      <c r="GA17" t="s">
        <v>51</v>
      </c>
      <c r="GC17" s="281"/>
      <c r="GD17" t="str">
        <v>Other</v>
      </c>
      <c r="GE17" t="str">
        <v>Firetrucks</v>
      </c>
      <c r="GF17" s="204">
        <f ca="1"/>
        <v>69</v>
      </c>
      <c r="GG17" s="204">
        <f ca="1"/>
        <v>93</v>
      </c>
      <c r="GH17" s="210">
        <f ca="1"/>
        <v>582</v>
      </c>
      <c r="GI17" s="210">
        <f ca="1"/>
        <v>587</v>
      </c>
      <c r="GJ17" s="124">
        <f ca="1"/>
        <v>0.11855670103092783</v>
      </c>
      <c r="GK17" s="124">
        <f ca="1"/>
        <v>0.15843270868824533</v>
      </c>
      <c r="GL17" s="81">
        <f ca="1"/>
        <v>0.8</v>
      </c>
      <c r="GM17" s="81">
        <f ca="1"/>
        <v>0.8</v>
      </c>
      <c r="GN17" s="81">
        <f ca="1"/>
        <v>0.25</v>
      </c>
      <c r="GO17" s="81">
        <f ca="1"/>
        <v>0.25</v>
      </c>
      <c r="GP17" s="204">
        <f ca="1"/>
        <v>11.040000000000001</v>
      </c>
      <c r="GQ17" s="204">
        <f ca="1"/>
        <v>14.880000000000003</v>
      </c>
      <c r="GR17" s="88">
        <f ca="1"/>
        <v>0.16</v>
      </c>
      <c r="GS17" s="88">
        <f ca="1"/>
        <v>0.16000000000000003</v>
      </c>
      <c r="GT17" t="str">
        <v>OtherFiretrucks</v>
      </c>
      <c r="GU17" t="str">
        <v>Firetrucks</v>
      </c>
      <c r="GW17" t="str">
        <v>Firetrucks</v>
      </c>
      <c r="GX17" s="96">
        <f ca="1"/>
        <v>25.92</v>
      </c>
      <c r="GZ17" s="281"/>
      <c r="HB17" s="122"/>
      <c r="HC17" s="74"/>
      <c r="HD17" s="74"/>
      <c r="HE17" s="203"/>
      <c r="HF17" s="203"/>
      <c r="HG17" s="203"/>
      <c r="HH17" s="203"/>
      <c r="HI17" s="203"/>
      <c r="HJ17" s="203"/>
      <c r="HK17" s="174"/>
      <c r="HL17" s="175"/>
      <c r="HN17" s="281"/>
      <c r="HO17" t="s">
        <v>111</v>
      </c>
      <c r="HP17" s="125" t="str">
        <f ca="1">HA10</f>
        <v>Firetrucks</v>
      </c>
      <c r="HQ17" s="75" t="str">
        <f ca="1">HA11</f>
        <v>Electrical Equipment</v>
      </c>
      <c r="HY17" s="281"/>
      <c r="HZ17" t="str">
        <f ca="1"/>
        <v>New Fire Station on Main Street</v>
      </c>
      <c r="IA17" t="str">
        <f ca="1"/>
        <v>Electrical Equipment</v>
      </c>
      <c r="IB17" s="225">
        <f ca="1"/>
        <v>46447</v>
      </c>
      <c r="IC17" s="202">
        <f ca="1"/>
        <v>587</v>
      </c>
      <c r="ID17" s="74">
        <f ca="1"/>
        <v>0.12947189097103917</v>
      </c>
      <c r="IE17" s="74">
        <f ca="1"/>
        <v>0.48556692694591386</v>
      </c>
      <c r="IF17" s="74">
        <f ca="1"/>
        <v>0.8</v>
      </c>
      <c r="IG17" s="74">
        <f ca="1"/>
        <v>0.25</v>
      </c>
      <c r="IH17" s="201">
        <f ca="1"/>
        <v>7.3806172895778905</v>
      </c>
      <c r="II17" s="202">
        <f ca="1"/>
        <v>76</v>
      </c>
      <c r="IJ17" s="231">
        <f ca="1"/>
        <v>9.7113385389182766E-2</v>
      </c>
    </row>
    <row r="18" spans="3:244" ht="15.6" thickTop="1" thickBot="1">
      <c r="C18" s="281"/>
      <c r="D18" s="287"/>
      <c r="E18" s="157" t="s">
        <v>38</v>
      </c>
      <c r="F18" s="155">
        <v>0.04</v>
      </c>
      <c r="G18" s="155">
        <v>0.05</v>
      </c>
      <c r="H18" s="155">
        <v>0.04</v>
      </c>
      <c r="I18" s="155">
        <v>0.04</v>
      </c>
      <c r="J18" s="155">
        <v>0</v>
      </c>
      <c r="K18" s="155">
        <v>0</v>
      </c>
      <c r="L18" s="63">
        <f t="shared" si="0"/>
        <v>0</v>
      </c>
      <c r="M18" s="155">
        <v>0</v>
      </c>
      <c r="N18" s="155">
        <v>0</v>
      </c>
      <c r="O18" s="155">
        <v>0</v>
      </c>
      <c r="P18" s="155">
        <v>0</v>
      </c>
      <c r="Q18" s="155">
        <v>0</v>
      </c>
      <c r="S18" s="287"/>
      <c r="T18" s="158" t="s">
        <v>36</v>
      </c>
      <c r="U18" s="155">
        <v>0.80654510583379313</v>
      </c>
      <c r="W18" s="287"/>
      <c r="X18" s="158" t="s">
        <v>36</v>
      </c>
      <c r="Y18" s="54">
        <v>0.6</v>
      </c>
      <c r="Z18" s="54">
        <f ca="1">IFERROR(INDEX('Core Inputs Interface'!D:D,MATCH($X18,'Core Inputs Interface'!$C:$C,0)),0)</f>
        <v>0.25</v>
      </c>
      <c r="AA18" s="54">
        <f ca="1">IFERROR(INDEX('Core Inputs Interface'!E:E,MATCH($X18,'Core Inputs Interface'!$C:$C,0)),0)</f>
        <v>0.25</v>
      </c>
      <c r="AC18" s="281"/>
      <c r="AE18" s="59" t="str">
        <f t="shared" si="14"/>
        <v>Residential Building - high density</v>
      </c>
      <c r="AF18" s="57" t="s">
        <v>38</v>
      </c>
      <c r="AG18" s="60">
        <f t="shared" si="15"/>
        <v>46082</v>
      </c>
      <c r="AH18" s="79">
        <f ca="1">IFERROR(INDEX('Core Inputs Interface'!$1:$1048576,MATCH($AE18,'Core Inputs Interface'!$H:$H,0),MATCH($AG18,'Core Inputs Interface'!$17:$17,0)),"")</f>
        <v>633</v>
      </c>
      <c r="AI18" s="55">
        <f t="shared" si="8"/>
        <v>0.04</v>
      </c>
      <c r="AJ18" s="55">
        <f t="shared" si="1"/>
        <v>0.24210307145623419</v>
      </c>
      <c r="AK18" s="55">
        <f t="shared" si="2"/>
        <v>0.6</v>
      </c>
      <c r="AL18" s="55">
        <f t="shared" ca="1" si="9"/>
        <v>0.25</v>
      </c>
      <c r="AM18" s="65">
        <f t="shared" ca="1" si="3"/>
        <v>0.91950746539077732</v>
      </c>
      <c r="AN18" s="66">
        <f t="shared" ca="1" si="4"/>
        <v>25.32</v>
      </c>
      <c r="AO18" s="56">
        <f t="shared" ca="1" si="10"/>
        <v>3.6315460718435125E-2</v>
      </c>
      <c r="AP18" t="str">
        <f t="shared" si="5"/>
        <v>Residential Building - high density_46082</v>
      </c>
      <c r="AQ18" t="str">
        <f t="shared" si="6"/>
        <v>Glass_46082</v>
      </c>
      <c r="AS18" s="281"/>
      <c r="AT18" t="str">
        <f ca="1"/>
        <v>Vehicles</v>
      </c>
      <c r="AU18" s="68">
        <f t="shared" ca="1" si="7"/>
        <v>68.605997078039351</v>
      </c>
      <c r="AV18" s="68">
        <f t="shared" ca="1" si="7"/>
        <v>72.067767572802794</v>
      </c>
      <c r="AW18" s="68">
        <f t="shared" ca="1" si="11"/>
        <v>140.67376465084214</v>
      </c>
      <c r="AZ18" s="148" t="s">
        <v>114</v>
      </c>
      <c r="BA18" s="68" cm="1">
        <f t="array" aca="1" ref="BA18:BV18" ca="1">IF(_xlfn.ANCHORARRAY(BA14)&lt;&gt;"Total",_xlfn.ANCHORARRAY(BA15),"")</f>
        <v>132.33963525174752</v>
      </c>
      <c r="BB18" s="68">
        <f ca="1"/>
        <v>127.04928778745342</v>
      </c>
      <c r="BC18" s="68">
        <f ca="1"/>
        <v>86.623464644801558</v>
      </c>
      <c r="BD18" s="68">
        <f ca="1"/>
        <v>68.605997078039351</v>
      </c>
      <c r="BE18" s="68">
        <f ca="1"/>
        <v>55.255058764829506</v>
      </c>
      <c r="BF18" s="68">
        <f ca="1"/>
        <v>32.243152368025548</v>
      </c>
      <c r="BG18" s="68">
        <f ca="1"/>
        <v>19.217618783374533</v>
      </c>
      <c r="BH18" s="68">
        <f ca="1"/>
        <v>13.347867729407699</v>
      </c>
      <c r="BI18" s="68">
        <f ca="1"/>
        <v>2.6463317706686116</v>
      </c>
      <c r="BJ18" s="68">
        <f ca="1"/>
        <v>0.24883094444844525</v>
      </c>
      <c r="BK18" s="68" t="str">
        <f ca="1"/>
        <v/>
      </c>
      <c r="BL18" s="68">
        <f ca="1"/>
        <v>139.08200871595585</v>
      </c>
      <c r="BM18" s="68">
        <f ca="1"/>
        <v>133.51725152936012</v>
      </c>
      <c r="BN18" s="68">
        <f ca="1"/>
        <v>91.056526805740646</v>
      </c>
      <c r="BO18" s="68">
        <f ca="1"/>
        <v>72.067767572802794</v>
      </c>
      <c r="BP18" s="68">
        <f ca="1"/>
        <v>58.069939117000061</v>
      </c>
      <c r="BQ18" s="68">
        <f ca="1"/>
        <v>35.200705090051777</v>
      </c>
      <c r="BR18" s="68">
        <f ca="1"/>
        <v>20.184807474879154</v>
      </c>
      <c r="BS18" s="68">
        <f ca="1"/>
        <v>14.802848571949768</v>
      </c>
      <c r="BT18" s="68">
        <f ca="1"/>
        <v>2.9382065983158849</v>
      </c>
      <c r="BU18" s="68">
        <f ca="1"/>
        <v>0.28437822222679454</v>
      </c>
      <c r="BV18" s="68" t="str">
        <f ca="1"/>
        <v/>
      </c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O18" s="281"/>
      <c r="DP18">
        <f ca="1"/>
        <v>10</v>
      </c>
      <c r="DQ18" t="str">
        <f ca="1"/>
        <v>Residential Building - low density</v>
      </c>
      <c r="DV18" t="str">
        <f ca="1"/>
        <v>Residential Building - low density</v>
      </c>
      <c r="DW18">
        <f ca="1"/>
        <v>30.000000000000004</v>
      </c>
      <c r="DX18">
        <f t="shared" ca="1" si="12"/>
        <v>10</v>
      </c>
      <c r="EA18" s="143" t="s">
        <v>111</v>
      </c>
      <c r="EB18" s="214" t="str">
        <f ca="1">DQ9</f>
        <v>Roads</v>
      </c>
      <c r="EC18" s="75" t="str">
        <f ca="1">DQ10</f>
        <v>Non-Residential Building</v>
      </c>
      <c r="EG18" s="281"/>
      <c r="EI18" s="85"/>
      <c r="EJ18" s="80"/>
      <c r="EK18" s="86"/>
      <c r="EL18" s="81"/>
      <c r="EM18" s="81"/>
      <c r="EN18" s="81"/>
      <c r="EO18" s="81"/>
      <c r="EP18" s="82"/>
      <c r="EQ18" s="87"/>
      <c r="ER18" s="88"/>
      <c r="EV18" s="96"/>
      <c r="EZ18" s="74"/>
      <c r="FA18" s="74"/>
      <c r="FB18" s="74"/>
      <c r="FC18" s="90"/>
      <c r="FD18" s="90"/>
      <c r="FE18" s="74"/>
      <c r="FF18" s="74"/>
      <c r="FG18" s="90"/>
      <c r="FH18" s="90"/>
      <c r="FI18" s="74"/>
      <c r="FJ18" s="74"/>
      <c r="FL18" s="281"/>
      <c r="FQ18" s="111" t="e" cm="1" vm="1">
        <f t="array" aca="1" ref="FQ18" ca="1">_xlfn._xlws.SORT(_xlfn._xlws.FILTER(_xlfn.UNIQUE(_xlfn.ANCHORARRAY(FO20)),_xlfn.UNIQUE(_xlfn.ANCHORARRAY(FO20))&lt;&gt;0),,-1)</f>
        <v>#VALUE!</v>
      </c>
      <c r="FR18" s="75" cm="1">
        <f t="array" aca="1" ref="FR18" ca="1">COUNTIF(_xlfn.ANCHORARRAY(FO20),_xlfn.ANCHORARRAY(FQ18))</f>
        <v>0</v>
      </c>
      <c r="FS18" s="75" t="e" cm="1" vm="2">
        <f t="array" aca="1" ref="FS18" ca="1">INDEX(_xlfn.ANCHORARRAY(FM20),MATCH(_xlfn.ANCHORARRAY(FQ18),_xlfn.ANCHORARRAY(FO20),0))</f>
        <v>#VALUE!</v>
      </c>
      <c r="FT18" s="75" t="str" cm="1">
        <f t="array" aca="1" ref="FT18" ca="1">IF(_xlfn.ANCHORARRAY(FR18)&lt;2,""," &amp; "&amp;_xlfn.ANCHORARRAY(FR18)-1&amp;" other key "&amp;EI8&amp;" construction inputs")</f>
        <v/>
      </c>
      <c r="FU18" s="75" t="e" cm="1" vm="2">
        <f t="array" aca="1" ref="FU18" ca="1">"- "&amp;TEXT(_xlfn.ANCHORARRAY(FQ18),"0%")&amp;" tariff on "&amp;_xlfn.ANCHORARRAY(FS18)&amp;_xlfn.ANCHORARRAY(FT18)</f>
        <v>#VALUE!</v>
      </c>
      <c r="FW18" s="281"/>
      <c r="FX18" t="s">
        <v>38</v>
      </c>
      <c r="FY18" s="17"/>
      <c r="GA18" t="s">
        <v>53</v>
      </c>
      <c r="GC18" s="281"/>
      <c r="GF18" s="169"/>
      <c r="GG18" s="169"/>
      <c r="GH18" s="169"/>
      <c r="GI18" s="169"/>
      <c r="GJ18" s="124"/>
      <c r="GK18" s="124"/>
      <c r="GL18" s="81"/>
      <c r="GM18" s="81"/>
      <c r="GN18" s="81"/>
      <c r="GO18" s="81"/>
      <c r="GP18" s="169"/>
      <c r="GQ18" s="169"/>
      <c r="GR18" s="88"/>
      <c r="GS18" s="88"/>
      <c r="GX18" s="96"/>
      <c r="GZ18" s="281"/>
      <c r="HB18" s="122"/>
      <c r="HC18" s="74"/>
      <c r="HD18" s="74"/>
      <c r="HE18" s="203"/>
      <c r="HF18" s="203"/>
      <c r="HG18" s="203"/>
      <c r="HH18" s="203"/>
      <c r="HI18" s="203"/>
      <c r="HJ18" s="203"/>
      <c r="HK18" s="174"/>
      <c r="HL18" s="175"/>
      <c r="HN18" s="281"/>
      <c r="HP18" s="17"/>
      <c r="HS18" s="111" cm="1">
        <f t="array" aca="1" ref="HS18:HS19" ca="1">_xlfn._xlws.SORT(_xlfn._xlws.FILTER(_xlfn.UNIQUE(_xlfn.ANCHORARRAY(HQ20)),_xlfn.UNIQUE(_xlfn.ANCHORARRAY(HQ20))&lt;&gt;0),,-1)</f>
        <v>0.25</v>
      </c>
      <c r="HT18" s="75" cm="1">
        <f t="array" aca="1" ref="HT18:HT19" ca="1">COUNTIF(_xlfn.ANCHORARRAY(HQ20),_xlfn.ANCHORARRAY(HS18))</f>
        <v>5</v>
      </c>
      <c r="HU18" s="75" t="str" cm="1">
        <f t="array" aca="1" ref="HU18:HU19" ca="1">INDEX(_xlfn.ANCHORARRAY(HO20),MATCH(_xlfn.ANCHORARRAY(HS18),_xlfn.ANCHORARRAY(HQ20),0))</f>
        <v>Firetrucks</v>
      </c>
      <c r="HV18" s="75" t="str" cm="1">
        <f t="array" aca="1" ref="HV18:HV19" ca="1">IF(_xlfn.ANCHORARRAY(HT18)&lt;2,""," &amp; "&amp;_xlfn.ANCHORARRAY(HT18)-1&amp;" other key construction inputs for "&amp;GE8)</f>
        <v xml:space="preserve"> &amp; 4 other key construction inputs for New Fire Station on Main Street</v>
      </c>
      <c r="HW18" s="75" t="str" cm="1">
        <f t="array" aca="1" ref="HW18:HW19" ca="1">"- "&amp;TEXT(_xlfn.ANCHORARRAY(HS18),"0%")&amp;" tariff on "&amp;_xlfn.ANCHORARRAY(HU18)&amp;_xlfn.ANCHORARRAY(HV18)</f>
        <v>- 25% tariff on Firetrucks &amp; 4 other key construction inputs for New Fire Station on Main Street</v>
      </c>
      <c r="HY18" s="281"/>
      <c r="HZ18" t="str">
        <f ca="1"/>
        <v>New Fire Station on Main Street</v>
      </c>
      <c r="IA18" t="str">
        <f ca="1"/>
        <v>Structural steel</v>
      </c>
      <c r="IB18" s="225">
        <f ca="1"/>
        <v>46447</v>
      </c>
      <c r="IC18" s="202">
        <f ca="1"/>
        <v>587</v>
      </c>
      <c r="ID18" s="74">
        <f ca="1"/>
        <v>0.15332197614991483</v>
      </c>
      <c r="IE18" s="74">
        <f ca="1"/>
        <v>0.52500514810102583</v>
      </c>
      <c r="IF18" s="74">
        <f ca="1"/>
        <v>0.6</v>
      </c>
      <c r="IG18" s="74">
        <f ca="1"/>
        <v>0.25</v>
      </c>
      <c r="IH18" s="201">
        <f ca="1"/>
        <v>7.0875694993638492</v>
      </c>
      <c r="II18" s="202">
        <f ca="1"/>
        <v>90</v>
      </c>
      <c r="IJ18" s="231">
        <f ca="1"/>
        <v>7.8750772215153877E-2</v>
      </c>
    </row>
    <row r="19" spans="3:244" ht="15.6" thickTop="1" thickBot="1">
      <c r="C19" s="281"/>
      <c r="D19" s="287"/>
      <c r="E19" s="157" t="s">
        <v>40</v>
      </c>
      <c r="F19" s="155">
        <v>8.5000000000000006E-2</v>
      </c>
      <c r="G19" s="155">
        <v>7.0000000000000007E-2</v>
      </c>
      <c r="H19" s="155">
        <v>0.08</v>
      </c>
      <c r="I19" s="155">
        <v>0.06</v>
      </c>
      <c r="J19" s="155">
        <v>0</v>
      </c>
      <c r="K19" s="155">
        <v>0</v>
      </c>
      <c r="L19" s="63">
        <f t="shared" si="0"/>
        <v>0</v>
      </c>
      <c r="M19" s="155">
        <v>0</v>
      </c>
      <c r="N19" s="155">
        <v>0</v>
      </c>
      <c r="O19" s="155">
        <v>0</v>
      </c>
      <c r="P19" s="155">
        <v>0</v>
      </c>
      <c r="Q19" s="155">
        <v>0</v>
      </c>
      <c r="S19" s="287"/>
      <c r="T19" s="158" t="s">
        <v>38</v>
      </c>
      <c r="U19" s="155">
        <v>0.24210307145623419</v>
      </c>
      <c r="W19" s="287"/>
      <c r="X19" s="158" t="s">
        <v>38</v>
      </c>
      <c r="Y19" s="54">
        <v>0.6</v>
      </c>
      <c r="Z19" s="54">
        <f ca="1">IFERROR(INDEX('Core Inputs Interface'!D:D,MATCH($X19,'Core Inputs Interface'!$C:$C,0)),0)</f>
        <v>0.25</v>
      </c>
      <c r="AA19" s="54">
        <f ca="1">IFERROR(INDEX('Core Inputs Interface'!E:E,MATCH($X19,'Core Inputs Interface'!$C:$C,0)),0)</f>
        <v>0.25</v>
      </c>
      <c r="AC19" s="281"/>
      <c r="AE19" s="59" t="str">
        <f t="shared" si="14"/>
        <v>Residential Building - high density</v>
      </c>
      <c r="AF19" s="57" t="s">
        <v>40</v>
      </c>
      <c r="AG19" s="60">
        <f t="shared" si="15"/>
        <v>46082</v>
      </c>
      <c r="AH19" s="79">
        <f ca="1">IFERROR(INDEX('Core Inputs Interface'!$1:$1048576,MATCH($AE19,'Core Inputs Interface'!$H:$H,0),MATCH($AG19,'Core Inputs Interface'!$17:$17,0)),"")</f>
        <v>633</v>
      </c>
      <c r="AI19" s="55">
        <f t="shared" si="8"/>
        <v>8.5000000000000006E-2</v>
      </c>
      <c r="AJ19" s="55">
        <f t="shared" si="1"/>
        <v>2.4772729573316262E-4</v>
      </c>
      <c r="AK19" s="55">
        <f t="shared" si="2"/>
        <v>0.6</v>
      </c>
      <c r="AL19" s="55">
        <f t="shared" ca="1" si="9"/>
        <v>0.25</v>
      </c>
      <c r="AM19" s="65">
        <f t="shared" ca="1" si="3"/>
        <v>1.9993450720384226E-3</v>
      </c>
      <c r="AN19" s="66">
        <f t="shared" ca="1" si="4"/>
        <v>53.805000000000007</v>
      </c>
      <c r="AO19" s="56">
        <f t="shared" ca="1" si="10"/>
        <v>3.7159094359974398E-5</v>
      </c>
      <c r="AP19" t="str">
        <f t="shared" si="5"/>
        <v>Residential Building - high density_46082</v>
      </c>
      <c r="AQ19" t="str">
        <f t="shared" si="6"/>
        <v>Roofing_46082</v>
      </c>
      <c r="AS19" s="281"/>
      <c r="AT19" t="str">
        <f ca="1"/>
        <v>Machinery &amp; Equipment</v>
      </c>
      <c r="AU19" s="68">
        <f t="shared" ca="1" si="7"/>
        <v>0</v>
      </c>
      <c r="AV19" s="68">
        <f t="shared" ca="1" si="7"/>
        <v>0</v>
      </c>
      <c r="AW19" s="68">
        <f t="shared" ca="1" si="11"/>
        <v>0</v>
      </c>
      <c r="AZ19" s="150" t="s">
        <v>76</v>
      </c>
      <c r="BA19" s="68" t="str" cm="1">
        <f t="array" aca="1" ref="BA19:BV19" ca="1">IF(_xlfn.ANCHORARRAY(BA14)="Total",_xlfn.ANCHORARRAY(BA15),"")</f>
        <v/>
      </c>
      <c r="BB19" s="68" t="str">
        <f ca="1"/>
        <v/>
      </c>
      <c r="BC19" s="68" t="str">
        <f ca="1"/>
        <v/>
      </c>
      <c r="BD19" s="68" t="str">
        <f ca="1"/>
        <v/>
      </c>
      <c r="BE19" s="68" t="str">
        <f ca="1"/>
        <v/>
      </c>
      <c r="BF19" s="68" t="str">
        <f ca="1"/>
        <v/>
      </c>
      <c r="BG19" s="68" t="str">
        <f ca="1"/>
        <v/>
      </c>
      <c r="BH19" s="68" t="str">
        <f ca="1"/>
        <v/>
      </c>
      <c r="BI19" s="68" t="str">
        <f ca="1"/>
        <v/>
      </c>
      <c r="BJ19" s="68" t="str">
        <f ca="1"/>
        <v/>
      </c>
      <c r="BK19" s="68">
        <f ca="1"/>
        <v>537.57724512279628</v>
      </c>
      <c r="BL19" s="68" t="str">
        <f ca="1"/>
        <v/>
      </c>
      <c r="BM19" s="68" t="str">
        <f ca="1"/>
        <v/>
      </c>
      <c r="BN19" s="68" t="str">
        <f ca="1"/>
        <v/>
      </c>
      <c r="BO19" s="68" t="str">
        <f ca="1"/>
        <v/>
      </c>
      <c r="BP19" s="68" t="str">
        <f ca="1"/>
        <v/>
      </c>
      <c r="BQ19" s="68" t="str">
        <f ca="1"/>
        <v/>
      </c>
      <c r="BR19" s="68" t="str">
        <f ca="1"/>
        <v/>
      </c>
      <c r="BS19" s="68" t="str">
        <f ca="1"/>
        <v/>
      </c>
      <c r="BT19" s="68" t="str">
        <f ca="1"/>
        <v/>
      </c>
      <c r="BU19" s="68" t="str">
        <f ca="1"/>
        <v/>
      </c>
      <c r="BV19" s="68">
        <f ca="1"/>
        <v>567.20443969828284</v>
      </c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O19" s="281"/>
      <c r="DP19">
        <f ca="1"/>
        <v>11</v>
      </c>
      <c r="DQ19" t="str">
        <f ca="1"/>
        <v>Other Transport</v>
      </c>
      <c r="DV19" t="str">
        <f ca="1"/>
        <v>Other Transport</v>
      </c>
      <c r="DW19">
        <f ca="1"/>
        <v>0</v>
      </c>
      <c r="DX19">
        <f t="shared" ca="1" si="12"/>
        <v>11</v>
      </c>
      <c r="EG19" s="281"/>
      <c r="EI19" s="85"/>
      <c r="EJ19" s="80"/>
      <c r="EK19" s="86"/>
      <c r="EL19" s="81"/>
      <c r="EM19" s="81"/>
      <c r="EN19" s="81"/>
      <c r="EO19" s="81"/>
      <c r="EP19" s="82"/>
      <c r="EQ19" s="87"/>
      <c r="ER19" s="88"/>
      <c r="EV19" s="96"/>
      <c r="EZ19" s="74"/>
      <c r="FA19" s="74"/>
      <c r="FB19" s="74"/>
      <c r="FC19" s="90"/>
      <c r="FD19" s="90"/>
      <c r="FE19" s="74"/>
      <c r="FF19" s="74"/>
      <c r="FG19" s="90"/>
      <c r="FH19" s="90"/>
      <c r="FI19" s="74"/>
      <c r="FJ19" s="74"/>
      <c r="FL19" s="281"/>
      <c r="FM19" s="143" t="s">
        <v>112</v>
      </c>
      <c r="FN19" s="144" t="s">
        <v>113</v>
      </c>
      <c r="FO19" s="144" t="s">
        <v>58</v>
      </c>
      <c r="FQ19" s="74"/>
      <c r="FW19" s="281"/>
      <c r="FX19" t="s">
        <v>40</v>
      </c>
      <c r="FY19" s="17"/>
      <c r="GA19" t="s">
        <v>133</v>
      </c>
      <c r="GC19" s="281"/>
      <c r="GF19" s="169"/>
      <c r="GG19" s="169"/>
      <c r="GH19" s="169"/>
      <c r="GI19" s="169"/>
      <c r="GJ19" s="124"/>
      <c r="GK19" s="124"/>
      <c r="GL19" s="81"/>
      <c r="GM19" s="81"/>
      <c r="GN19" s="81"/>
      <c r="GO19" s="81"/>
      <c r="GP19" s="169"/>
      <c r="GQ19" s="169"/>
      <c r="GR19" s="88"/>
      <c r="GS19" s="88"/>
      <c r="GX19" s="96"/>
      <c r="GZ19" s="281"/>
      <c r="HB19" s="122"/>
      <c r="HC19" s="74"/>
      <c r="HD19" s="74"/>
      <c r="HE19" s="203"/>
      <c r="HF19" s="203"/>
      <c r="HG19" s="203"/>
      <c r="HH19" s="203"/>
      <c r="HI19" s="203"/>
      <c r="HJ19" s="203"/>
      <c r="HK19" s="174"/>
      <c r="HL19" s="175"/>
      <c r="HN19" s="281"/>
      <c r="HO19" s="77" t="s">
        <v>112</v>
      </c>
      <c r="HP19" s="17"/>
      <c r="HS19" s="74">
        <f ca="1"/>
        <v>0.1</v>
      </c>
      <c r="HT19">
        <f ca="1"/>
        <v>1</v>
      </c>
      <c r="HU19" t="str">
        <f ca="1"/>
        <v>Diesel</v>
      </c>
      <c r="HV19" t="str">
        <f ca="1"/>
        <v/>
      </c>
      <c r="HW19" t="str">
        <f ca="1"/>
        <v>- 10% tariff on Diesel</v>
      </c>
      <c r="HY19" s="281"/>
      <c r="HZ19" t="str">
        <f ca="1"/>
        <v>New Fire Station on Main Street</v>
      </c>
      <c r="IA19" t="str">
        <f ca="1"/>
        <v>Plant and equipment</v>
      </c>
      <c r="IB19" s="225">
        <f ca="1"/>
        <v>46447</v>
      </c>
      <c r="IC19" s="202">
        <f ca="1"/>
        <v>587</v>
      </c>
      <c r="ID19" s="74">
        <f ca="1"/>
        <v>8.6882453151618397E-2</v>
      </c>
      <c r="IE19" s="74">
        <f ca="1"/>
        <v>0.31546495432215926</v>
      </c>
      <c r="IF19" s="74">
        <f ca="1"/>
        <v>0.8</v>
      </c>
      <c r="IG19" s="74">
        <f ca="1"/>
        <v>0.25</v>
      </c>
      <c r="IH19" s="201">
        <f ca="1"/>
        <v>3.2177425340860246</v>
      </c>
      <c r="II19" s="202">
        <f ca="1"/>
        <v>51</v>
      </c>
      <c r="IJ19" s="231">
        <f ca="1"/>
        <v>6.3092990864431861E-2</v>
      </c>
    </row>
    <row r="20" spans="3:244" ht="15.6" thickTop="1" thickBot="1">
      <c r="C20" s="281"/>
      <c r="D20" s="287"/>
      <c r="E20" s="157" t="s">
        <v>42</v>
      </c>
      <c r="F20" s="155">
        <v>0.05</v>
      </c>
      <c r="G20" s="155">
        <v>0.04</v>
      </c>
      <c r="H20" s="155">
        <v>0.04</v>
      </c>
      <c r="I20" s="155">
        <v>0.03</v>
      </c>
      <c r="J20" s="155">
        <v>0</v>
      </c>
      <c r="K20" s="155">
        <v>0</v>
      </c>
      <c r="L20" s="63">
        <f t="shared" si="0"/>
        <v>0</v>
      </c>
      <c r="M20" s="155">
        <v>0</v>
      </c>
      <c r="N20" s="155">
        <v>0</v>
      </c>
      <c r="O20" s="155">
        <v>0</v>
      </c>
      <c r="P20" s="155">
        <v>0</v>
      </c>
      <c r="Q20" s="155">
        <v>0</v>
      </c>
      <c r="S20" s="287"/>
      <c r="T20" s="158" t="s">
        <v>40</v>
      </c>
      <c r="U20" s="155">
        <v>2.4772729573316262E-4</v>
      </c>
      <c r="W20" s="287"/>
      <c r="X20" s="158" t="s">
        <v>40</v>
      </c>
      <c r="Y20" s="54">
        <v>0.6</v>
      </c>
      <c r="Z20" s="54">
        <f ca="1">IFERROR(INDEX('Core Inputs Interface'!D:D,MATCH($X20,'Core Inputs Interface'!$C:$C,0)),0)</f>
        <v>0.25</v>
      </c>
      <c r="AA20" s="54">
        <f ca="1">IFERROR(INDEX('Core Inputs Interface'!E:E,MATCH($X20,'Core Inputs Interface'!$C:$C,0)),0)</f>
        <v>0.25</v>
      </c>
      <c r="AC20" s="281"/>
      <c r="AE20" s="59" t="str">
        <f t="shared" si="14"/>
        <v>Residential Building - high density</v>
      </c>
      <c r="AF20" s="57" t="s">
        <v>42</v>
      </c>
      <c r="AG20" s="60">
        <f t="shared" si="15"/>
        <v>46082</v>
      </c>
      <c r="AH20" s="79">
        <f ca="1">IFERROR(INDEX('Core Inputs Interface'!$1:$1048576,MATCH($AE20,'Core Inputs Interface'!$H:$H,0),MATCH($AG20,'Core Inputs Interface'!$17:$17,0)),"")</f>
        <v>633</v>
      </c>
      <c r="AI20" s="55">
        <f t="shared" si="8"/>
        <v>0.05</v>
      </c>
      <c r="AJ20" s="55">
        <f t="shared" si="1"/>
        <v>0.54050345117059384</v>
      </c>
      <c r="AK20" s="55">
        <f t="shared" si="2"/>
        <v>0.6</v>
      </c>
      <c r="AL20" s="55">
        <f t="shared" ca="1" si="9"/>
        <v>0.25</v>
      </c>
      <c r="AM20" s="65">
        <f t="shared" ca="1" si="3"/>
        <v>2.5660401344323942</v>
      </c>
      <c r="AN20" s="66">
        <f t="shared" ca="1" si="4"/>
        <v>31.650000000000002</v>
      </c>
      <c r="AO20" s="56">
        <f t="shared" ca="1" si="10"/>
        <v>8.1075517675589071E-2</v>
      </c>
      <c r="AP20" t="str">
        <f t="shared" si="5"/>
        <v>Residential Building - high density_46082</v>
      </c>
      <c r="AQ20" t="str">
        <f t="shared" si="6"/>
        <v>Interior_46082</v>
      </c>
      <c r="AS20" s="281"/>
      <c r="AT20" t="str">
        <f ca="1"/>
        <v>Office Equipment &amp; IT</v>
      </c>
      <c r="AU20" s="68">
        <f t="shared" ca="1" si="7"/>
        <v>0</v>
      </c>
      <c r="AV20" s="68">
        <f t="shared" ca="1" si="7"/>
        <v>0</v>
      </c>
      <c r="AW20" s="68">
        <f t="shared" ca="1" si="11"/>
        <v>0</v>
      </c>
      <c r="DO20" s="281"/>
      <c r="DP20">
        <f ca="1"/>
        <v>12</v>
      </c>
      <c r="DQ20" t="str">
        <f ca="1"/>
        <v>Machinery &amp; Equipment</v>
      </c>
      <c r="DV20" t="str">
        <f ca="1"/>
        <v>Machinery &amp; Equipment</v>
      </c>
      <c r="DW20">
        <f ca="1"/>
        <v>0</v>
      </c>
      <c r="DX20">
        <f t="shared" ca="1" si="12"/>
        <v>11</v>
      </c>
      <c r="EG20" s="281"/>
      <c r="EI20" s="85"/>
      <c r="EJ20" s="80"/>
      <c r="EK20" s="86"/>
      <c r="EL20" s="81"/>
      <c r="EM20" s="81"/>
      <c r="EN20" s="81"/>
      <c r="EO20" s="81"/>
      <c r="EP20" s="82"/>
      <c r="EQ20" s="87"/>
      <c r="ER20" s="88"/>
      <c r="EV20" s="96"/>
      <c r="EZ20" s="74"/>
      <c r="FA20" s="74"/>
      <c r="FB20" s="74"/>
      <c r="FC20" s="90"/>
      <c r="FD20" s="90"/>
      <c r="FE20" s="74"/>
      <c r="FF20" s="74"/>
      <c r="FG20" s="90"/>
      <c r="FH20" s="90"/>
      <c r="FI20" s="74"/>
      <c r="FJ20" s="74"/>
      <c r="FL20" s="281"/>
      <c r="FM20" t="str" cm="1">
        <f t="array" aca="1" ref="FM20" ca="1">_xlfn.ANCHORARRAY(EY11)</f>
        <v/>
      </c>
      <c r="FN20" s="142" cm="1">
        <f t="array" aca="1" ref="FN20" ca="1">SUMIFS(_xlfn.ANCHORARRAY($EQ$11),_xlfn.ANCHORARRAY($EI$11),_xlfn.ANCHORARRAY($FM$20))</f>
        <v>0</v>
      </c>
      <c r="FO20" s="17" cm="1">
        <f t="array" aca="1" ref="FO20" ca="1">IFERROR(AVERAGEIFS(_xlfn.ANCHORARRAY(EO11),_xlfn.ANCHORARRAY($EI$11),_xlfn.ANCHORARRAY($FM$20)),0)</f>
        <v>0</v>
      </c>
      <c r="FQ20" s="74"/>
      <c r="FW20" s="281"/>
      <c r="FX20" t="s">
        <v>42</v>
      </c>
      <c r="FY20" s="17"/>
      <c r="GC20" s="281"/>
      <c r="GF20" s="169"/>
      <c r="GG20" s="169"/>
      <c r="GH20" s="169"/>
      <c r="GI20" s="169"/>
      <c r="GJ20" s="124"/>
      <c r="GK20" s="124"/>
      <c r="GL20" s="81"/>
      <c r="GM20" s="81"/>
      <c r="GN20" s="81"/>
      <c r="GO20" s="81"/>
      <c r="GP20" s="169"/>
      <c r="GQ20" s="169"/>
      <c r="GR20" s="88"/>
      <c r="GS20" s="88"/>
      <c r="GX20" s="96"/>
      <c r="GZ20" s="281"/>
      <c r="HB20" s="122"/>
      <c r="HE20" s="203"/>
      <c r="HF20" s="203"/>
      <c r="HG20" s="203"/>
      <c r="HH20" s="203"/>
      <c r="HI20" s="203"/>
      <c r="HJ20" s="203"/>
      <c r="HK20" s="174"/>
      <c r="HL20" s="175"/>
      <c r="HN20" s="281"/>
      <c r="HO20" t="str" cm="1">
        <f t="array" aca="1" ref="HO20:HO26" ca="1">_xlfn.ANCHORARRAY(HA10)</f>
        <v>Firetrucks</v>
      </c>
      <c r="HP20" s="140" cm="1">
        <f t="array" aca="1" ref="HP20:HP26" ca="1">_xlfn.ANCHORARRAY(HE10)+_xlfn.ANCHORARRAY(HF10)</f>
        <v>162</v>
      </c>
      <c r="HQ20" s="74" cm="1">
        <f t="array" aca="1" ref="HQ20:HQ26" ca="1">IFERROR((_xlfn.ANCHORARRAY(HG10)+_xlfn.ANCHORARRAY(HH10))/2,0)</f>
        <v>0.25</v>
      </c>
      <c r="HY20" s="281"/>
      <c r="HZ20" t="str">
        <f ca="1"/>
        <v>New Fire Station on Main Street</v>
      </c>
      <c r="IA20" t="str">
        <f ca="1"/>
        <v>Diesel</v>
      </c>
      <c r="IB20" s="225">
        <f ca="1"/>
        <v>46447</v>
      </c>
      <c r="IC20" s="202">
        <f ca="1"/>
        <v>587</v>
      </c>
      <c r="ID20" s="74">
        <f ca="1"/>
        <v>0.15502555366269166</v>
      </c>
      <c r="IE20" s="74">
        <f ca="1"/>
        <v>0.45356302165418505</v>
      </c>
      <c r="IF20" s="74">
        <f ca="1"/>
        <v>0.6</v>
      </c>
      <c r="IG20" s="74">
        <f ca="1"/>
        <v>0.1</v>
      </c>
      <c r="IH20" s="201">
        <f ca="1"/>
        <v>2.4764540982318506</v>
      </c>
      <c r="II20" s="202">
        <f ca="1"/>
        <v>91</v>
      </c>
      <c r="IJ20" s="231">
        <f ca="1"/>
        <v>2.7213781299251106E-2</v>
      </c>
    </row>
    <row r="21" spans="3:244" ht="15.6" thickTop="1" thickBot="1">
      <c r="C21" s="281"/>
      <c r="E21" s="157" t="s">
        <v>44</v>
      </c>
      <c r="F21" s="155">
        <v>0</v>
      </c>
      <c r="G21" s="155">
        <v>0</v>
      </c>
      <c r="H21" s="155">
        <v>0</v>
      </c>
      <c r="I21" s="155">
        <v>0</v>
      </c>
      <c r="J21" s="155">
        <v>0.13500000000000001</v>
      </c>
      <c r="K21" s="155">
        <v>0</v>
      </c>
      <c r="L21" s="63">
        <f t="shared" si="0"/>
        <v>6.7500000000000004E-2</v>
      </c>
      <c r="M21" s="155">
        <v>0</v>
      </c>
      <c r="N21" s="155">
        <v>0</v>
      </c>
      <c r="O21" s="155">
        <v>0</v>
      </c>
      <c r="P21" s="155">
        <v>0</v>
      </c>
      <c r="Q21" s="155">
        <v>0</v>
      </c>
      <c r="T21" s="158" t="s">
        <v>42</v>
      </c>
      <c r="U21" s="155">
        <v>0.54050345117059384</v>
      </c>
      <c r="X21" s="158" t="s">
        <v>42</v>
      </c>
      <c r="Y21" s="54">
        <v>0.6</v>
      </c>
      <c r="Z21" s="54">
        <f ca="1">IFERROR(INDEX('Core Inputs Interface'!D:D,MATCH($X21,'Core Inputs Interface'!$C:$C,0)),0)</f>
        <v>0.25</v>
      </c>
      <c r="AA21" s="54">
        <f ca="1">IFERROR(INDEX('Core Inputs Interface'!E:E,MATCH($X21,'Core Inputs Interface'!$C:$C,0)),0)</f>
        <v>0.25</v>
      </c>
      <c r="AC21" s="281"/>
      <c r="AE21" s="59" t="str">
        <f t="shared" si="14"/>
        <v>Residential Building - high density</v>
      </c>
      <c r="AF21" s="57" t="s">
        <v>44</v>
      </c>
      <c r="AG21" s="60">
        <f t="shared" si="15"/>
        <v>46082</v>
      </c>
      <c r="AH21" s="79">
        <f ca="1">IFERROR(INDEX('Core Inputs Interface'!$1:$1048576,MATCH($AE21,'Core Inputs Interface'!$H:$H,0),MATCH($AG21,'Core Inputs Interface'!$17:$17,0)),"")</f>
        <v>633</v>
      </c>
      <c r="AI21" s="55">
        <f t="shared" si="8"/>
        <v>0</v>
      </c>
      <c r="AJ21" s="55">
        <f t="shared" si="1"/>
        <v>0.14985905317691026</v>
      </c>
      <c r="AK21" s="55">
        <f t="shared" si="2"/>
        <v>0.6</v>
      </c>
      <c r="AL21" s="55">
        <f t="shared" ca="1" si="9"/>
        <v>0.25</v>
      </c>
      <c r="AM21" s="65">
        <f t="shared" ca="1" si="3"/>
        <v>0</v>
      </c>
      <c r="AN21" s="66">
        <f t="shared" ca="1" si="4"/>
        <v>0</v>
      </c>
      <c r="AO21" s="56">
        <f t="shared" ca="1" si="10"/>
        <v>0</v>
      </c>
      <c r="AP21" t="str">
        <f t="shared" si="5"/>
        <v>Residential Building - high density_46082</v>
      </c>
      <c r="AQ21" t="str">
        <f t="shared" si="6"/>
        <v>Bitumen_46082</v>
      </c>
      <c r="AS21" s="281"/>
      <c r="AT21" t="str">
        <f ca="1"/>
        <v>New Fire Station on Main Street</v>
      </c>
      <c r="AU21" s="68">
        <f t="shared" ca="1" si="7"/>
        <v>32.243152368025548</v>
      </c>
      <c r="AV21" s="68">
        <f t="shared" ca="1" si="7"/>
        <v>35.200705090051777</v>
      </c>
      <c r="AW21" s="68">
        <f t="shared" ref="AW21" ca="1" si="16">SUM(AU21:AV21)</f>
        <v>67.443857458077332</v>
      </c>
      <c r="DO21" s="281"/>
      <c r="DP21">
        <f ca="1"/>
        <v>13</v>
      </c>
      <c r="DQ21" t="str">
        <f ca="1"/>
        <v>Office Equipment &amp; IT</v>
      </c>
      <c r="DV21" t="str">
        <f ca="1"/>
        <v>Office Equipment &amp; IT</v>
      </c>
      <c r="DW21">
        <f ca="1"/>
        <v>0</v>
      </c>
      <c r="DX21">
        <f t="shared" ca="1" si="12"/>
        <v>11</v>
      </c>
      <c r="EG21" s="281"/>
      <c r="EI21" s="85"/>
      <c r="EJ21" s="80"/>
      <c r="EK21" s="86"/>
      <c r="EL21" s="81"/>
      <c r="EM21" s="81"/>
      <c r="EN21" s="81"/>
      <c r="EO21" s="81"/>
      <c r="EP21" s="82"/>
      <c r="EQ21" s="87"/>
      <c r="ER21" s="88"/>
      <c r="EV21" s="96"/>
      <c r="EZ21" s="74"/>
      <c r="FA21" s="74"/>
      <c r="FB21" s="74"/>
      <c r="FC21" s="90"/>
      <c r="FD21" s="90"/>
      <c r="FE21" s="74"/>
      <c r="FF21" s="74"/>
      <c r="FG21" s="90"/>
      <c r="FH21" s="90"/>
      <c r="FI21" s="74"/>
      <c r="FJ21" s="74"/>
      <c r="FL21" s="281"/>
      <c r="FN21" s="142"/>
      <c r="FO21" s="17"/>
      <c r="FW21" s="281"/>
      <c r="FX21" t="s">
        <v>44</v>
      </c>
      <c r="FY21" s="17"/>
      <c r="GC21" s="281"/>
      <c r="GF21" s="169"/>
      <c r="GG21" s="169"/>
      <c r="GH21" s="169"/>
      <c r="GI21" s="169"/>
      <c r="GJ21" s="124"/>
      <c r="GK21" s="124"/>
      <c r="GL21" s="81"/>
      <c r="GM21" s="81"/>
      <c r="GN21" s="81"/>
      <c r="GO21" s="81"/>
      <c r="GP21" s="169"/>
      <c r="GQ21" s="169"/>
      <c r="GR21" s="88"/>
      <c r="GS21" s="88"/>
      <c r="GX21" s="96"/>
      <c r="GZ21" s="281"/>
      <c r="HB21" s="122"/>
      <c r="HC21" s="74"/>
      <c r="HD21" s="74"/>
      <c r="HE21" s="203"/>
      <c r="HF21" s="203"/>
      <c r="HG21" s="203"/>
      <c r="HH21" s="203"/>
      <c r="HI21" s="203"/>
      <c r="HJ21" s="203"/>
      <c r="HK21" s="174"/>
      <c r="HL21" s="175"/>
      <c r="HN21" s="281"/>
      <c r="HO21" t="str">
        <f ca="1"/>
        <v>Electrical Equipment</v>
      </c>
      <c r="HP21" s="96">
        <f ca="1"/>
        <v>163</v>
      </c>
      <c r="HQ21" s="74">
        <f ca="1"/>
        <v>0.25</v>
      </c>
      <c r="HS21" s="74"/>
      <c r="HY21" s="281"/>
      <c r="HZ21" t="str">
        <f ca="1"/>
        <v>New Fire Station on Main Street</v>
      </c>
      <c r="IA21" t="str">
        <f ca="1"/>
        <v>Concrete</v>
      </c>
      <c r="IB21" s="225">
        <f ca="1"/>
        <v>46447</v>
      </c>
      <c r="IC21" s="202">
        <f ca="1"/>
        <v>587</v>
      </c>
      <c r="ID21" s="74">
        <f ca="1"/>
        <v>0.15672913117546849</v>
      </c>
      <c r="IE21" s="74">
        <f ca="1"/>
        <v>1.1472584695084088E-2</v>
      </c>
      <c r="IF21" s="74">
        <f ca="1"/>
        <v>0.6</v>
      </c>
      <c r="IG21" s="74">
        <f ca="1"/>
        <v>0.25</v>
      </c>
      <c r="IH21" s="201">
        <f ca="1"/>
        <v>0.15832166879216039</v>
      </c>
      <c r="II21" s="202">
        <f ca="1"/>
        <v>92</v>
      </c>
      <c r="IJ21" s="231">
        <f ca="1"/>
        <v>1.720887704262613E-3</v>
      </c>
    </row>
    <row r="22" spans="3:244" ht="15.6" thickTop="1" thickBot="1">
      <c r="C22" s="281"/>
      <c r="E22" s="157" t="s">
        <v>46</v>
      </c>
      <c r="F22" s="155">
        <v>5.0000000000000001E-3</v>
      </c>
      <c r="G22" s="155">
        <v>5.0000000000000001E-3</v>
      </c>
      <c r="H22" s="155">
        <v>5.0000000000000001E-3</v>
      </c>
      <c r="I22" s="155">
        <v>5.0000000000000001E-3</v>
      </c>
      <c r="J22" s="155">
        <v>0</v>
      </c>
      <c r="K22" s="155">
        <v>0</v>
      </c>
      <c r="L22" s="63">
        <f t="shared" si="0"/>
        <v>0</v>
      </c>
      <c r="M22" s="155">
        <v>0.09</v>
      </c>
      <c r="N22" s="155">
        <v>0.02</v>
      </c>
      <c r="O22" s="155">
        <v>0</v>
      </c>
      <c r="P22" s="155">
        <v>0</v>
      </c>
      <c r="Q22" s="155">
        <v>0</v>
      </c>
      <c r="T22" s="158" t="s">
        <v>44</v>
      </c>
      <c r="U22" s="155">
        <v>0.14985905317691026</v>
      </c>
      <c r="X22" s="158" t="s">
        <v>44</v>
      </c>
      <c r="Y22" s="54">
        <v>0.6</v>
      </c>
      <c r="Z22" s="54">
        <f ca="1">IFERROR(INDEX('Core Inputs Interface'!D:D,MATCH($X22,'Core Inputs Interface'!$C:$C,0)),0)</f>
        <v>0.25</v>
      </c>
      <c r="AA22" s="54">
        <f ca="1">IFERROR(INDEX('Core Inputs Interface'!E:E,MATCH($X22,'Core Inputs Interface'!$C:$C,0)),0)</f>
        <v>0.25</v>
      </c>
      <c r="AC22" s="281"/>
      <c r="AE22" s="59" t="str">
        <f t="shared" si="14"/>
        <v>Residential Building - high density</v>
      </c>
      <c r="AF22" s="57" t="s">
        <v>46</v>
      </c>
      <c r="AG22" s="60">
        <f t="shared" si="15"/>
        <v>46082</v>
      </c>
      <c r="AH22" s="79">
        <f ca="1">IFERROR(INDEX('Core Inputs Interface'!$1:$1048576,MATCH($AE22,'Core Inputs Interface'!$H:$H,0),MATCH($AG22,'Core Inputs Interface'!$17:$17,0)),"")</f>
        <v>633</v>
      </c>
      <c r="AI22" s="55">
        <f t="shared" si="8"/>
        <v>5.0000000000000001E-3</v>
      </c>
      <c r="AJ22" s="55">
        <f t="shared" si="1"/>
        <v>0.12828361767948987</v>
      </c>
      <c r="AK22" s="55">
        <f t="shared" si="2"/>
        <v>0.6</v>
      </c>
      <c r="AL22" s="55">
        <f t="shared" ca="1" si="9"/>
        <v>0.25</v>
      </c>
      <c r="AM22" s="65">
        <f t="shared" ca="1" si="3"/>
        <v>6.0902647493337812E-2</v>
      </c>
      <c r="AN22" s="66">
        <f t="shared" ca="1" si="4"/>
        <v>3.165</v>
      </c>
      <c r="AO22" s="56">
        <f t="shared" ca="1" si="10"/>
        <v>1.9242542651923478E-2</v>
      </c>
      <c r="AP22" t="str">
        <f t="shared" si="5"/>
        <v>Residential Building - high density_46082</v>
      </c>
      <c r="AQ22" t="str">
        <f t="shared" si="6"/>
        <v>Polyethylene pipes_46082</v>
      </c>
      <c r="AS22" s="281"/>
      <c r="AT22" s="69" t="s">
        <v>76</v>
      </c>
      <c r="AU22" s="70">
        <f ca="1">SUM(AU9:AU21)</f>
        <v>537.57724512279628</v>
      </c>
      <c r="AV22" s="70">
        <f t="shared" ref="AV22:AW22" ca="1" si="17">SUM(AV9:AV21)</f>
        <v>567.20443969828284</v>
      </c>
      <c r="AW22" s="70">
        <f t="shared" ca="1" si="17"/>
        <v>1104.7816848210791</v>
      </c>
      <c r="DO22" s="281"/>
      <c r="EG22" s="281"/>
      <c r="EI22" s="85"/>
      <c r="EJ22" s="80"/>
      <c r="EK22" s="86"/>
      <c r="EL22" s="81"/>
      <c r="EM22" s="81"/>
      <c r="EN22" s="81"/>
      <c r="EO22" s="81"/>
      <c r="EP22" s="82"/>
      <c r="EQ22" s="87"/>
      <c r="ER22" s="88"/>
      <c r="EV22" s="96"/>
      <c r="EZ22" s="74"/>
      <c r="FA22" s="74"/>
      <c r="FB22" s="74"/>
      <c r="FC22" s="90"/>
      <c r="FD22" s="90"/>
      <c r="FE22" s="74"/>
      <c r="FF22" s="74"/>
      <c r="FG22" s="90"/>
      <c r="FH22" s="90"/>
      <c r="FI22" s="74"/>
      <c r="FJ22" s="74"/>
      <c r="FL22" s="281"/>
      <c r="FN22" s="142"/>
      <c r="FO22" s="17"/>
      <c r="FW22" s="281"/>
      <c r="FX22" t="s">
        <v>46</v>
      </c>
      <c r="FY22" s="17"/>
      <c r="GC22" s="281"/>
      <c r="GF22" s="169"/>
      <c r="GG22" s="169"/>
      <c r="GH22" s="169"/>
      <c r="GI22" s="169"/>
      <c r="GJ22" s="124"/>
      <c r="GK22" s="124"/>
      <c r="GL22" s="81"/>
      <c r="GM22" s="81"/>
      <c r="GN22" s="81"/>
      <c r="GO22" s="81"/>
      <c r="GP22" s="169"/>
      <c r="GQ22" s="169"/>
      <c r="GR22" s="88"/>
      <c r="GS22" s="88"/>
      <c r="GZ22" s="281"/>
      <c r="HB22" s="122"/>
      <c r="HC22" s="74"/>
      <c r="HD22" s="74"/>
      <c r="HE22" s="203"/>
      <c r="HF22" s="203"/>
      <c r="HG22" s="203"/>
      <c r="HH22" s="203"/>
      <c r="HI22" s="203"/>
      <c r="HJ22" s="203"/>
      <c r="HK22" s="174"/>
      <c r="HL22" s="175"/>
      <c r="HN22" s="281"/>
      <c r="HO22" t="str">
        <f ca="1"/>
        <v>Structural steel</v>
      </c>
      <c r="HP22" s="96">
        <f ca="1"/>
        <v>159</v>
      </c>
      <c r="HQ22" s="74">
        <f ca="1"/>
        <v>0.25</v>
      </c>
      <c r="HY22" s="281"/>
      <c r="HZ22" t="str">
        <f ca="1"/>
        <v>New Fire Station on Main Street</v>
      </c>
      <c r="IA22" t="str">
        <f ca="1"/>
        <v>Labour</v>
      </c>
      <c r="IB22" s="225">
        <f ca="1"/>
        <v>46447</v>
      </c>
      <c r="IC22" s="202">
        <f ca="1"/>
        <v>587</v>
      </c>
      <c r="ID22" s="74">
        <f ca="1"/>
        <v>0.16013628620102216</v>
      </c>
      <c r="IE22" s="74" t="str">
        <f ca="1"/>
        <v>N/A</v>
      </c>
      <c r="IF22" s="74" t="str">
        <f ca="1"/>
        <v>N/A</v>
      </c>
      <c r="IG22" s="74" t="str">
        <f ca="1"/>
        <v>N/A</v>
      </c>
      <c r="IH22" s="201">
        <f ca="1"/>
        <v>0</v>
      </c>
      <c r="II22" s="202">
        <f ca="1"/>
        <v>94</v>
      </c>
      <c r="IJ22" s="231">
        <f ca="1"/>
        <v>0</v>
      </c>
    </row>
    <row r="23" spans="3:244" ht="15.6" thickTop="1" thickBot="1">
      <c r="C23" s="281"/>
      <c r="E23" s="157" t="s">
        <v>48</v>
      </c>
      <c r="F23" s="155">
        <v>6.5000000000000002E-2</v>
      </c>
      <c r="G23" s="155">
        <v>0.04</v>
      </c>
      <c r="H23" s="155">
        <v>0.04</v>
      </c>
      <c r="I23" s="155">
        <v>8.5000000000000006E-2</v>
      </c>
      <c r="J23" s="155">
        <v>7.4999999999999997E-2</v>
      </c>
      <c r="K23" s="155">
        <v>0.08</v>
      </c>
      <c r="L23" s="63">
        <f t="shared" si="0"/>
        <v>7.7499999999999999E-2</v>
      </c>
      <c r="M23" s="155">
        <v>0.08</v>
      </c>
      <c r="N23" s="155">
        <v>0.12</v>
      </c>
      <c r="O23" s="155">
        <v>0</v>
      </c>
      <c r="P23" s="155">
        <v>0</v>
      </c>
      <c r="Q23" s="155">
        <v>0</v>
      </c>
      <c r="T23" s="158" t="s">
        <v>46</v>
      </c>
      <c r="U23" s="155">
        <v>0.12828361767948987</v>
      </c>
      <c r="X23" s="158" t="s">
        <v>46</v>
      </c>
      <c r="Y23" s="54">
        <v>0.6</v>
      </c>
      <c r="Z23" s="54">
        <f ca="1">IFERROR(INDEX('Core Inputs Interface'!D:D,MATCH($X23,'Core Inputs Interface'!$C:$C,0)),0)</f>
        <v>0.25</v>
      </c>
      <c r="AA23" s="54">
        <f ca="1">IFERROR(INDEX('Core Inputs Interface'!E:E,MATCH($X23,'Core Inputs Interface'!$C:$C,0)),0)</f>
        <v>0.25</v>
      </c>
      <c r="AC23" s="281"/>
      <c r="AE23" s="59" t="str">
        <f t="shared" si="14"/>
        <v>Residential Building - high density</v>
      </c>
      <c r="AF23" s="57" t="s">
        <v>48</v>
      </c>
      <c r="AG23" s="60">
        <f t="shared" si="15"/>
        <v>46082</v>
      </c>
      <c r="AH23" s="79">
        <f ca="1">IFERROR(INDEX('Core Inputs Interface'!$1:$1048576,MATCH($AE23,'Core Inputs Interface'!$H:$H,0),MATCH($AG23,'Core Inputs Interface'!$17:$17,0)),"")</f>
        <v>633</v>
      </c>
      <c r="AI23" s="55">
        <f t="shared" si="8"/>
        <v>6.5000000000000002E-2</v>
      </c>
      <c r="AJ23" s="55">
        <f t="shared" si="1"/>
        <v>0.31546495432215926</v>
      </c>
      <c r="AK23" s="55">
        <f t="shared" si="2"/>
        <v>0.8</v>
      </c>
      <c r="AL23" s="55">
        <f t="shared" ca="1" si="9"/>
        <v>0.25</v>
      </c>
      <c r="AM23" s="65">
        <f t="shared" ca="1" si="3"/>
        <v>2.5959611091170487</v>
      </c>
      <c r="AN23" s="66">
        <f t="shared" ca="1" si="4"/>
        <v>41.145000000000003</v>
      </c>
      <c r="AO23" s="56">
        <f t="shared" ca="1" si="10"/>
        <v>6.3092990864431847E-2</v>
      </c>
      <c r="AP23" t="str">
        <f t="shared" si="5"/>
        <v>Residential Building - high density_46082</v>
      </c>
      <c r="AQ23" t="str">
        <f t="shared" si="6"/>
        <v>Plant and equipment_46082</v>
      </c>
      <c r="AS23" s="281"/>
      <c r="DO23" s="281"/>
      <c r="EG23" s="281"/>
      <c r="EI23" s="85"/>
      <c r="EJ23" s="80"/>
      <c r="EK23" s="86"/>
      <c r="EL23" s="81"/>
      <c r="EM23" s="81"/>
      <c r="EN23" s="81"/>
      <c r="EO23" s="81"/>
      <c r="EP23" s="82"/>
      <c r="EQ23" s="87"/>
      <c r="ER23" s="88"/>
      <c r="EV23" s="96"/>
      <c r="EZ23" s="74"/>
      <c r="FA23" s="74"/>
      <c r="FB23" s="74"/>
      <c r="FC23" s="90"/>
      <c r="FD23" s="90"/>
      <c r="FE23" s="74"/>
      <c r="FF23" s="74"/>
      <c r="FG23" s="90"/>
      <c r="FH23" s="90"/>
      <c r="FI23" s="74"/>
      <c r="FJ23" s="74"/>
      <c r="FL23" s="281"/>
      <c r="FN23" s="142"/>
      <c r="FO23" s="17"/>
      <c r="FW23" s="281"/>
      <c r="FX23" t="s">
        <v>48</v>
      </c>
      <c r="FY23" s="17"/>
      <c r="GC23" s="281"/>
      <c r="GF23" s="129"/>
      <c r="GG23" s="129"/>
      <c r="GH23" s="128"/>
      <c r="GI23" s="128"/>
      <c r="GJ23" s="81"/>
      <c r="GK23" s="81"/>
      <c r="GL23" s="81"/>
      <c r="GM23" s="81"/>
      <c r="GN23" s="81"/>
      <c r="GO23" s="81"/>
      <c r="GP23" s="87"/>
      <c r="GQ23" s="87"/>
      <c r="GR23" s="88"/>
      <c r="GS23" s="88"/>
      <c r="GZ23" s="281"/>
      <c r="HB23" s="122"/>
      <c r="HC23" s="74"/>
      <c r="HD23" s="74"/>
      <c r="HE23" s="203"/>
      <c r="HF23" s="203"/>
      <c r="HG23" s="203"/>
      <c r="HH23" s="203"/>
      <c r="HI23" s="203"/>
      <c r="HJ23" s="203"/>
      <c r="HK23" s="174"/>
      <c r="HL23" s="175"/>
      <c r="HN23" s="281"/>
      <c r="HO23" t="str">
        <f ca="1"/>
        <v>Plant and equipment</v>
      </c>
      <c r="HP23" s="96">
        <f ca="1"/>
        <v>124</v>
      </c>
      <c r="HQ23" s="74">
        <f ca="1"/>
        <v>0.25</v>
      </c>
      <c r="HY23" s="281"/>
    </row>
    <row r="24" spans="3:244" ht="15.6" thickTop="1" thickBot="1">
      <c r="C24" s="281"/>
      <c r="E24" s="157" t="s">
        <v>50</v>
      </c>
      <c r="F24" s="155">
        <v>0.03</v>
      </c>
      <c r="G24" s="155">
        <v>0.02</v>
      </c>
      <c r="H24" s="155">
        <v>0.01</v>
      </c>
      <c r="I24" s="155">
        <v>0.05</v>
      </c>
      <c r="J24" s="155">
        <v>0</v>
      </c>
      <c r="K24" s="155">
        <v>0</v>
      </c>
      <c r="L24" s="63">
        <f t="shared" si="0"/>
        <v>0</v>
      </c>
      <c r="M24" s="155">
        <v>0</v>
      </c>
      <c r="N24" s="155">
        <v>0</v>
      </c>
      <c r="O24" s="155">
        <v>0</v>
      </c>
      <c r="P24" s="155">
        <v>0</v>
      </c>
      <c r="Q24" s="155">
        <v>0</v>
      </c>
      <c r="T24" s="158" t="s">
        <v>48</v>
      </c>
      <c r="U24" s="155">
        <v>0.31546495432215926</v>
      </c>
      <c r="X24" s="158" t="s">
        <v>48</v>
      </c>
      <c r="Y24" s="54">
        <v>0.8</v>
      </c>
      <c r="Z24" s="54">
        <f ca="1">IFERROR(INDEX('Core Inputs Interface'!D:D,MATCH($X24,'Core Inputs Interface'!$C:$C,0)),0)</f>
        <v>0.25</v>
      </c>
      <c r="AA24" s="54">
        <f ca="1">IFERROR(INDEX('Core Inputs Interface'!E:E,MATCH($X24,'Core Inputs Interface'!$C:$C,0)),0)</f>
        <v>0.25</v>
      </c>
      <c r="AC24" s="281"/>
      <c r="AE24" s="59" t="str">
        <f t="shared" si="14"/>
        <v>Residential Building - high density</v>
      </c>
      <c r="AF24" s="57" t="s">
        <v>50</v>
      </c>
      <c r="AG24" s="60">
        <f t="shared" si="15"/>
        <v>46082</v>
      </c>
      <c r="AH24" s="79">
        <f ca="1">IFERROR(INDEX('Core Inputs Interface'!$1:$1048576,MATCH($AE24,'Core Inputs Interface'!$H:$H,0),MATCH($AG24,'Core Inputs Interface'!$17:$17,0)),"")</f>
        <v>633</v>
      </c>
      <c r="AI24" s="55">
        <f t="shared" si="8"/>
        <v>0.03</v>
      </c>
      <c r="AJ24" s="55">
        <f t="shared" si="1"/>
        <v>0.48556692694591386</v>
      </c>
      <c r="AK24" s="55">
        <f t="shared" si="2"/>
        <v>0.8</v>
      </c>
      <c r="AL24" s="55">
        <f t="shared" ca="1" si="9"/>
        <v>0.25</v>
      </c>
      <c r="AM24" s="65">
        <f t="shared" ca="1" si="3"/>
        <v>1.8441831885405808</v>
      </c>
      <c r="AN24" s="66">
        <f t="shared" ca="1" si="4"/>
        <v>18.989999999999998</v>
      </c>
      <c r="AO24" s="56">
        <f t="shared" ca="1" si="10"/>
        <v>9.711338538918278E-2</v>
      </c>
      <c r="AP24" t="str">
        <f t="shared" si="5"/>
        <v>Residential Building - high density_46082</v>
      </c>
      <c r="AQ24" t="str">
        <f t="shared" si="6"/>
        <v>Electrical equipment_46082</v>
      </c>
      <c r="AS24" s="281"/>
      <c r="DO24" s="281"/>
      <c r="DP24" s="143"/>
      <c r="DQ24" s="143"/>
      <c r="DR24" s="143"/>
      <c r="DS24" s="290" t="s">
        <v>115</v>
      </c>
      <c r="DT24" s="290"/>
      <c r="EG24" s="281"/>
      <c r="EI24" s="85"/>
      <c r="EJ24" s="80"/>
      <c r="EK24" s="86"/>
      <c r="EL24" s="81"/>
      <c r="EM24" s="81"/>
      <c r="EN24" s="81"/>
      <c r="EO24" s="81"/>
      <c r="EP24" s="82"/>
      <c r="EQ24" s="87"/>
      <c r="ER24" s="88"/>
      <c r="EV24" s="96"/>
      <c r="EZ24" s="74"/>
      <c r="FA24" s="74"/>
      <c r="FB24" s="74"/>
      <c r="FC24" s="90"/>
      <c r="FD24" s="90"/>
      <c r="FE24" s="74"/>
      <c r="FF24" s="74"/>
      <c r="FG24" s="90"/>
      <c r="FH24" s="90"/>
      <c r="FI24" s="74"/>
      <c r="FJ24" s="74"/>
      <c r="FL24" s="281"/>
      <c r="FN24" s="142"/>
      <c r="FO24" s="17"/>
      <c r="FW24" s="281"/>
      <c r="FX24" t="s">
        <v>50</v>
      </c>
      <c r="FY24" s="17"/>
      <c r="GC24" s="281"/>
      <c r="GF24" s="129"/>
      <c r="GG24" s="129"/>
      <c r="GH24" s="128"/>
      <c r="GI24" s="128"/>
      <c r="GJ24" s="81"/>
      <c r="GK24" s="81"/>
      <c r="GL24" s="81"/>
      <c r="GM24" s="81"/>
      <c r="GN24" s="81"/>
      <c r="GO24" s="81"/>
      <c r="GP24" s="87"/>
      <c r="GQ24" s="87"/>
      <c r="GR24" s="88"/>
      <c r="GS24" s="88"/>
      <c r="GZ24" s="281"/>
      <c r="HB24" s="122"/>
      <c r="HC24" s="74"/>
      <c r="HD24" s="74"/>
      <c r="HE24" s="203"/>
      <c r="HF24" s="203"/>
      <c r="HG24" s="203"/>
      <c r="HH24" s="203"/>
      <c r="HI24" s="203"/>
      <c r="HJ24" s="203"/>
      <c r="HK24" s="174"/>
      <c r="HL24" s="175"/>
      <c r="HN24" s="281"/>
      <c r="HO24" t="str">
        <f ca="1"/>
        <v>Diesel</v>
      </c>
      <c r="HP24" s="96">
        <f ca="1"/>
        <v>185</v>
      </c>
      <c r="HQ24" s="74">
        <f ca="1"/>
        <v>0.1</v>
      </c>
      <c r="HY24" s="281"/>
    </row>
    <row r="25" spans="3:244" ht="15.6" thickTop="1" thickBot="1">
      <c r="C25" s="281"/>
      <c r="E25" s="157" t="s">
        <v>52</v>
      </c>
      <c r="F25" s="155">
        <v>0</v>
      </c>
      <c r="G25" s="155">
        <v>0</v>
      </c>
      <c r="H25" s="155">
        <v>0</v>
      </c>
      <c r="I25" s="155">
        <v>0</v>
      </c>
      <c r="J25" s="155">
        <v>0.02</v>
      </c>
      <c r="K25" s="155">
        <v>0</v>
      </c>
      <c r="L25" s="63">
        <f>AVERAGE(J25:K25)</f>
        <v>0.01</v>
      </c>
      <c r="M25" s="155">
        <v>0</v>
      </c>
      <c r="N25" s="155">
        <v>0</v>
      </c>
      <c r="O25" s="155">
        <v>0</v>
      </c>
      <c r="P25" s="155">
        <v>0</v>
      </c>
      <c r="Q25" s="155">
        <v>0</v>
      </c>
      <c r="T25" s="158" t="s">
        <v>50</v>
      </c>
      <c r="U25" s="155">
        <v>0.48556692694591386</v>
      </c>
      <c r="X25" s="158" t="s">
        <v>50</v>
      </c>
      <c r="Y25" s="54">
        <v>0.8</v>
      </c>
      <c r="Z25" s="54">
        <f ca="1">IFERROR(INDEX('Core Inputs Interface'!D:D,MATCH($X25,'Core Inputs Interface'!$C:$C,0)),0)</f>
        <v>0.25</v>
      </c>
      <c r="AA25" s="54">
        <f ca="1">IFERROR(INDEX('Core Inputs Interface'!E:E,MATCH($X25,'Core Inputs Interface'!$C:$C,0)),0)</f>
        <v>0.25</v>
      </c>
      <c r="AC25" s="281"/>
      <c r="AE25" s="59" t="str">
        <f t="shared" si="14"/>
        <v>Residential Building - high density</v>
      </c>
      <c r="AF25" s="57" t="s">
        <v>52</v>
      </c>
      <c r="AG25" s="60">
        <f t="shared" si="15"/>
        <v>46082</v>
      </c>
      <c r="AH25" s="79">
        <f ca="1">IFERROR(INDEX('Core Inputs Interface'!$1:$1048576,MATCH($AE25,'Core Inputs Interface'!$H:$H,0),MATCH($AG25,'Core Inputs Interface'!$17:$17,0)),"")</f>
        <v>633</v>
      </c>
      <c r="AI25" s="55">
        <f t="shared" si="8"/>
        <v>0</v>
      </c>
      <c r="AJ25" s="55">
        <f t="shared" si="1"/>
        <v>0.23440288076987165</v>
      </c>
      <c r="AK25" s="55">
        <f t="shared" si="2"/>
        <v>0.8</v>
      </c>
      <c r="AL25" s="55">
        <f t="shared" ca="1" si="9"/>
        <v>0.25</v>
      </c>
      <c r="AM25" s="65">
        <f t="shared" ca="1" si="3"/>
        <v>0</v>
      </c>
      <c r="AN25" s="66">
        <f t="shared" ca="1" si="4"/>
        <v>0</v>
      </c>
      <c r="AO25" s="56">
        <f t="shared" ca="1" si="10"/>
        <v>0</v>
      </c>
      <c r="AP25" t="str">
        <f t="shared" si="5"/>
        <v>Residential Building - high density_46082</v>
      </c>
      <c r="AQ25" t="str">
        <f t="shared" si="6"/>
        <v>Road equipment_46082</v>
      </c>
      <c r="AS25" s="281"/>
      <c r="DO25" s="281"/>
      <c r="DP25" s="146" t="s">
        <v>94</v>
      </c>
      <c r="DQ25" s="146" t="s">
        <v>63</v>
      </c>
      <c r="DR25" s="143" t="s">
        <v>116</v>
      </c>
      <c r="DS25" s="239">
        <v>46082</v>
      </c>
      <c r="DT25" s="239">
        <v>46447</v>
      </c>
      <c r="DV25" s="143" t="s">
        <v>112</v>
      </c>
      <c r="DW25" s="144" t="s">
        <v>113</v>
      </c>
      <c r="DX25" s="144" t="s">
        <v>58</v>
      </c>
      <c r="EA25" s="111" cm="1">
        <f t="array" aca="1" ref="EA25:EA26" ca="1">_xlfn._xlws.SORT(_xlfn._xlws.FILTER(_xlfn.UNIQUE(_xlfn.ANCHORARRAY(DX26)),_xlfn.UNIQUE(_xlfn.ANCHORARRAY(DX26))&lt;&gt;0),,-1)</f>
        <v>0.25</v>
      </c>
      <c r="EB25" s="214" cm="1">
        <f t="array" aca="1" ref="EB25:EB26" ca="1">COUNTIF(_xlfn.ANCHORARRAY(DX26),_xlfn.ANCHORARRAY(EA25))</f>
        <v>20</v>
      </c>
      <c r="EC25" s="75" t="str" cm="1">
        <f t="array" aca="1" ref="EC25:EC26" ca="1">INDEX(_xlfn.ANCHORARRAY(DV26),MATCH(_xlfn.ANCHORARRAY(EA25),_xlfn.ANCHORARRAY(DX26),0))</f>
        <v>Plant and equipment</v>
      </c>
      <c r="ED25" s="75" t="str" cm="1">
        <f t="array" aca="1" ref="ED25:ED26" ca="1">IF(_xlfn.ANCHORARRAY(EB25)&lt;2,""," &amp; "&amp;_xlfn.ANCHORARRAY(EB25)-1&amp;" other key construction inputs")</f>
        <v xml:space="preserve"> &amp; 19 other key construction inputs</v>
      </c>
      <c r="EE25" s="75" t="str" cm="1">
        <f t="array" aca="1" ref="EE25:EE26" ca="1">"- "&amp;TEXT(_xlfn.ANCHORARRAY(EA25),"0%")&amp;" tariff on "&amp;_xlfn.ANCHORARRAY(EC25)&amp;_xlfn.ANCHORARRAY(ED25)</f>
        <v>- 25% tariff on Plant and equipment &amp; 19 other key construction inputs</v>
      </c>
      <c r="EG25" s="281"/>
      <c r="EI25" s="85"/>
      <c r="EJ25" s="80"/>
      <c r="EK25" s="86"/>
      <c r="EL25" s="81"/>
      <c r="EM25" s="81"/>
      <c r="EN25" s="81"/>
      <c r="EO25" s="81"/>
      <c r="EP25" s="82"/>
      <c r="EQ25" s="87"/>
      <c r="ER25" s="88"/>
      <c r="EV25" s="96"/>
      <c r="EZ25" s="74"/>
      <c r="FA25" s="74"/>
      <c r="FB25" s="74"/>
      <c r="FC25" s="90"/>
      <c r="FD25" s="90"/>
      <c r="FE25" s="74"/>
      <c r="FF25" s="74"/>
      <c r="FG25" s="90"/>
      <c r="FH25" s="90"/>
      <c r="FI25" s="74"/>
      <c r="FJ25" s="74"/>
      <c r="FL25" s="281"/>
      <c r="FN25" s="142"/>
      <c r="FO25" s="17"/>
      <c r="FW25" s="281"/>
      <c r="FX25" t="s">
        <v>52</v>
      </c>
      <c r="FY25" s="17"/>
      <c r="GC25" s="281"/>
      <c r="GF25" s="129"/>
      <c r="GG25" s="129"/>
      <c r="GH25" s="128"/>
      <c r="GI25" s="128"/>
      <c r="GJ25" s="81"/>
      <c r="GK25" s="81"/>
      <c r="GL25" s="81"/>
      <c r="GM25" s="81"/>
      <c r="GN25" s="81"/>
      <c r="GO25" s="81"/>
      <c r="GP25" s="87"/>
      <c r="GQ25" s="87"/>
      <c r="GR25" s="88"/>
      <c r="GS25" s="88"/>
      <c r="GZ25" s="281"/>
      <c r="HB25" s="122"/>
      <c r="HC25" s="74"/>
      <c r="HD25" s="74"/>
      <c r="HE25" s="203"/>
      <c r="HF25" s="203"/>
      <c r="HG25" s="203"/>
      <c r="HH25" s="203"/>
      <c r="HI25" s="203"/>
      <c r="HJ25" s="203"/>
      <c r="HK25" s="174"/>
      <c r="HL25" s="175"/>
      <c r="HN25" s="281"/>
      <c r="HO25" t="str">
        <f ca="1"/>
        <v>Concrete</v>
      </c>
      <c r="HP25" s="96">
        <f ca="1"/>
        <v>183</v>
      </c>
      <c r="HQ25" s="74">
        <f ca="1"/>
        <v>0.25</v>
      </c>
      <c r="HY25" s="281"/>
    </row>
    <row r="26" spans="3:244" ht="15.6" thickTop="1" thickBot="1">
      <c r="C26" s="281"/>
      <c r="E26" s="157" t="s">
        <v>54</v>
      </c>
      <c r="F26" s="155">
        <v>0</v>
      </c>
      <c r="G26" s="155">
        <v>0</v>
      </c>
      <c r="H26" s="155">
        <v>0</v>
      </c>
      <c r="I26" s="155">
        <v>0</v>
      </c>
      <c r="J26" s="155">
        <v>0</v>
      </c>
      <c r="K26" s="155">
        <v>0</v>
      </c>
      <c r="L26" s="63">
        <f t="shared" ref="L26:L30" si="18">AVERAGE(J26:K26)</f>
        <v>0</v>
      </c>
      <c r="M26" s="155">
        <v>7.0000000000000007E-2</v>
      </c>
      <c r="N26" s="155">
        <v>0.03</v>
      </c>
      <c r="O26" s="155">
        <v>0</v>
      </c>
      <c r="P26" s="155">
        <v>0</v>
      </c>
      <c r="Q26" s="155">
        <v>0</v>
      </c>
      <c r="T26" s="158" t="s">
        <v>52</v>
      </c>
      <c r="U26" s="155">
        <v>0.23440288076987165</v>
      </c>
      <c r="X26" s="158" t="s">
        <v>52</v>
      </c>
      <c r="Y26" s="54">
        <v>0.8</v>
      </c>
      <c r="Z26" s="54">
        <f ca="1">IFERROR(INDEX('Core Inputs Interface'!D:D,MATCH($X26,'Core Inputs Interface'!$C:$C,0)),0)</f>
        <v>0.25</v>
      </c>
      <c r="AA26" s="54">
        <f ca="1">IFERROR(INDEX('Core Inputs Interface'!E:E,MATCH($X26,'Core Inputs Interface'!$C:$C,0)),0)</f>
        <v>0.25</v>
      </c>
      <c r="AC26" s="281"/>
      <c r="AE26" s="59" t="str">
        <f t="shared" si="14"/>
        <v>Residential Building - high density</v>
      </c>
      <c r="AF26" s="57" t="s">
        <v>54</v>
      </c>
      <c r="AG26" s="60">
        <f t="shared" si="15"/>
        <v>46082</v>
      </c>
      <c r="AH26" s="79">
        <f ca="1">IFERROR(INDEX('Core Inputs Interface'!$1:$1048576,MATCH($AE26,'Core Inputs Interface'!$H:$H,0),MATCH($AG26,'Core Inputs Interface'!$17:$17,0)),"")</f>
        <v>633</v>
      </c>
      <c r="AI26" s="55">
        <f t="shared" si="8"/>
        <v>0</v>
      </c>
      <c r="AJ26" s="55">
        <f t="shared" si="1"/>
        <v>0.53411483886586031</v>
      </c>
      <c r="AK26" s="55">
        <f t="shared" si="2"/>
        <v>0.8</v>
      </c>
      <c r="AL26" s="55">
        <f t="shared" ca="1" si="9"/>
        <v>0.25</v>
      </c>
      <c r="AM26" s="65">
        <f t="shared" ca="1" si="3"/>
        <v>0</v>
      </c>
      <c r="AN26" s="66">
        <f t="shared" ca="1" si="4"/>
        <v>0</v>
      </c>
      <c r="AO26" s="56">
        <f t="shared" ca="1" si="10"/>
        <v>0</v>
      </c>
      <c r="AP26" t="str">
        <f t="shared" si="5"/>
        <v>Residential Building - high density_46082</v>
      </c>
      <c r="AQ26" t="str">
        <f t="shared" si="6"/>
        <v>Water equipment_46082</v>
      </c>
      <c r="AS26" s="281"/>
      <c r="AT26" s="147" t="s">
        <v>62</v>
      </c>
      <c r="AU26" s="153">
        <v>46082</v>
      </c>
      <c r="AV26" s="153">
        <v>46447</v>
      </c>
      <c r="AW26" s="153" t="s">
        <v>76</v>
      </c>
      <c r="DO26" s="281"/>
      <c r="DP26" cm="1">
        <f t="array" aca="1" ref="DP26:DP48" ca="1">_xlfn.SEQUENCE(COUNTA(_xlfn.ANCHORARRAY(AT27)),1,1,1)</f>
        <v>1</v>
      </c>
      <c r="DQ26" s="16" t="str" cm="1">
        <f t="array" aca="1" ref="DQ26:DQ48" ca="1">_xlfn.ANCHORARRAY(AT27)</f>
        <v>Labour</v>
      </c>
      <c r="DR26" s="73" cm="1">
        <f t="array" aca="1" ref="DR26:DR48" ca="1">SUMIFS($AN:$AN,$AF:$AF,_xlfn.ANCHORARRAY($AT27))</f>
        <v>22841.23</v>
      </c>
      <c r="DS26" s="74" t="str" cm="1">
        <f t="array" aca="1" ref="DS26:DS48" ca="1">INDEX($AL:$AL,MATCH(_xlfn.ANCHORARRAY($DQ26)&amp;"_"&amp;DS$25,$AQ:$AQ,0))</f>
        <v>N/A</v>
      </c>
      <c r="DT26" s="74" t="str" cm="1">
        <f t="array" aca="1" ref="DT26:DT48" ca="1">INDEX($AL:$AL,MATCH(_xlfn.ANCHORARRAY($DQ26)&amp;"_"&amp;DT$25,$AQ:$AQ,0))</f>
        <v>N/A</v>
      </c>
      <c r="DU26" s="16"/>
      <c r="DV26" t="str" cm="1">
        <f t="array" aca="1" ref="DV26:DV48" ca="1">_xlfn.SORTBY(_xlfn._xlws.FILTER(_xlfn.ANCHORARRAY(DQ26),_xlfn.ANCHORARRAY(DS26)&gt;0),_xlfn._xlws.FILTER(_xlfn.ANCHORARRAY(DR26),_xlfn.ANCHORARRAY(DS26)&gt;0),-1)</f>
        <v>Labour</v>
      </c>
      <c r="DW26" s="68" cm="1">
        <f t="array" aca="1" ref="DW26:DW48" ca="1">INDEX(_xlfn.ANCHORARRAY(DR26),MATCH(_xlfn.ANCHORARRAY($DV$26),_xlfn.ANCHORARRAY($DQ$26),0))</f>
        <v>22841.23</v>
      </c>
      <c r="DX26" s="74" cm="1">
        <f t="array" aca="1" ref="DX26:DX48" ca="1">IFERROR((INDEX(_xlfn.ANCHORARRAY(DS26),MATCH(_xlfn.ANCHORARRAY($DV$26),_xlfn.ANCHORARRAY($DQ$26),0))+INDEX(_xlfn.ANCHORARRAY(DT26),MATCH(_xlfn.ANCHORARRAY($DV$26),_xlfn.ANCHORARRAY($DQ$26),0)))/2,0)</f>
        <v>0</v>
      </c>
      <c r="EA26" s="74">
        <f ca="1"/>
        <v>0.1</v>
      </c>
      <c r="EB26" s="218">
        <f ca="1"/>
        <v>1</v>
      </c>
      <c r="EC26" t="str">
        <f ca="1"/>
        <v>Diesel</v>
      </c>
      <c r="ED26" t="str">
        <f ca="1"/>
        <v/>
      </c>
      <c r="EE26" t="str">
        <f ca="1"/>
        <v>- 10% tariff on Diesel</v>
      </c>
      <c r="EG26" s="281"/>
      <c r="EI26" s="85"/>
      <c r="EJ26" s="80"/>
      <c r="EK26" s="86"/>
      <c r="EL26" s="81"/>
      <c r="EM26" s="81"/>
      <c r="EN26" s="81"/>
      <c r="EO26" s="81"/>
      <c r="EP26" s="82"/>
      <c r="EQ26" s="87"/>
      <c r="ER26" s="88"/>
      <c r="EV26"/>
      <c r="EZ26" s="74"/>
      <c r="FA26" s="74"/>
      <c r="FB26" s="74"/>
      <c r="FC26" s="74"/>
      <c r="FD26" s="74"/>
      <c r="FE26" s="74"/>
      <c r="FF26" s="74"/>
      <c r="FG26" s="74"/>
      <c r="FH26" s="74"/>
      <c r="FI26" s="74"/>
      <c r="FJ26" s="74"/>
      <c r="FL26" s="281"/>
      <c r="FN26" s="142"/>
      <c r="FO26" s="17"/>
      <c r="FW26" s="281"/>
      <c r="FX26" t="s">
        <v>54</v>
      </c>
      <c r="FY26" s="17"/>
      <c r="GC26" s="281"/>
      <c r="GF26" s="129"/>
      <c r="GG26" s="129"/>
      <c r="GH26" s="128"/>
      <c r="GI26" s="128"/>
      <c r="GJ26" s="81"/>
      <c r="GK26" s="81"/>
      <c r="GL26" s="81"/>
      <c r="GM26" s="81"/>
      <c r="GN26" s="81"/>
      <c r="GO26" s="81"/>
      <c r="GP26" s="87"/>
      <c r="GQ26" s="87"/>
      <c r="GR26" s="88"/>
      <c r="GS26" s="88"/>
      <c r="GZ26" s="281"/>
      <c r="HB26" s="122"/>
      <c r="HC26" s="74"/>
      <c r="HD26" s="74"/>
      <c r="HE26" s="203"/>
      <c r="HF26" s="203"/>
      <c r="HG26" s="203"/>
      <c r="HH26" s="203"/>
      <c r="HI26" s="203"/>
      <c r="HJ26" s="203"/>
      <c r="HK26" s="174"/>
      <c r="HL26" s="175"/>
      <c r="HN26" s="281"/>
      <c r="HO26" t="str">
        <f ca="1"/>
        <v>Labour</v>
      </c>
      <c r="HP26" s="17">
        <f ca="1"/>
        <v>193</v>
      </c>
      <c r="HQ26">
        <f ca="1"/>
        <v>0</v>
      </c>
      <c r="HY26" s="281"/>
    </row>
    <row r="27" spans="3:244" ht="15.6" thickTop="1" thickBot="1">
      <c r="C27" s="281"/>
      <c r="E27" s="157" t="s">
        <v>56</v>
      </c>
      <c r="F27" s="155">
        <v>0.05</v>
      </c>
      <c r="G27" s="155">
        <v>0.05</v>
      </c>
      <c r="H27" s="155">
        <v>0.05</v>
      </c>
      <c r="I27" s="155">
        <v>5.5E-2</v>
      </c>
      <c r="J27" s="155">
        <v>0.06</v>
      </c>
      <c r="K27" s="155">
        <v>0.05</v>
      </c>
      <c r="L27" s="63">
        <f t="shared" si="18"/>
        <v>5.5E-2</v>
      </c>
      <c r="M27" s="155">
        <v>0.05</v>
      </c>
      <c r="N27" s="155">
        <v>0.05</v>
      </c>
      <c r="O27" s="155">
        <v>0</v>
      </c>
      <c r="P27" s="155">
        <v>0</v>
      </c>
      <c r="Q27" s="155">
        <v>0</v>
      </c>
      <c r="T27" s="158" t="s">
        <v>54</v>
      </c>
      <c r="U27" s="155">
        <v>0.53411483886586031</v>
      </c>
      <c r="X27" s="158" t="s">
        <v>54</v>
      </c>
      <c r="Y27" s="54">
        <v>0.8</v>
      </c>
      <c r="Z27" s="54">
        <f ca="1">IFERROR(INDEX('Core Inputs Interface'!D:D,MATCH($X27,'Core Inputs Interface'!$C:$C,0)),0)</f>
        <v>0.25</v>
      </c>
      <c r="AA27" s="54">
        <f ca="1">IFERROR(INDEX('Core Inputs Interface'!E:E,MATCH($X27,'Core Inputs Interface'!$C:$C,0)),0)</f>
        <v>0.25</v>
      </c>
      <c r="AC27" s="281"/>
      <c r="AE27" s="59" t="str">
        <f t="shared" si="14"/>
        <v>Residential Building - high density</v>
      </c>
      <c r="AF27" s="57" t="s">
        <v>56</v>
      </c>
      <c r="AG27" s="60">
        <f t="shared" si="15"/>
        <v>46082</v>
      </c>
      <c r="AH27" s="79">
        <f ca="1">IFERROR(INDEX('Core Inputs Interface'!$1:$1048576,MATCH($AE27,'Core Inputs Interface'!$H:$H,0),MATCH($AG27,'Core Inputs Interface'!$17:$17,0)),"")</f>
        <v>633</v>
      </c>
      <c r="AI27" s="55">
        <f t="shared" si="8"/>
        <v>0.05</v>
      </c>
      <c r="AJ27" s="55">
        <f t="shared" si="1"/>
        <v>0.45356302165418505</v>
      </c>
      <c r="AK27" s="55">
        <f t="shared" si="2"/>
        <v>0.6</v>
      </c>
      <c r="AL27" s="55">
        <f t="shared" ca="1" si="9"/>
        <v>0.1</v>
      </c>
      <c r="AM27" s="65">
        <f t="shared" ca="1" si="3"/>
        <v>0.86131617812129757</v>
      </c>
      <c r="AN27" s="66">
        <f t="shared" ca="1" si="4"/>
        <v>31.650000000000002</v>
      </c>
      <c r="AO27" s="56">
        <f t="shared" ca="1" si="10"/>
        <v>2.7213781299251106E-2</v>
      </c>
      <c r="AP27" t="str">
        <f t="shared" si="5"/>
        <v>Residential Building - high density_46082</v>
      </c>
      <c r="AQ27" t="str">
        <f t="shared" si="6"/>
        <v>Diesel_46082</v>
      </c>
      <c r="AS27" s="281"/>
      <c r="AT27" s="16" t="str" cm="1">
        <f t="array" aca="1" ref="AT27:AT49" ca="1">_xlfn.UNIQUE(_xlfn._xlws.FILTER(AF:AF,ISNUMBER(AH:AH)))</f>
        <v>Labour</v>
      </c>
      <c r="AU27" s="68">
        <f ca="1">SUMIFS($AM:$AM,$AQ:$AQ,_xlfn.TEXTJOIN("_",,$AT27,AU$26))</f>
        <v>0</v>
      </c>
      <c r="AV27" s="68">
        <f ca="1">SUMIFS($AM:$AM,$AQ:$AQ,_xlfn.TEXTJOIN("_",,$AT27,AV$26))</f>
        <v>0</v>
      </c>
      <c r="AW27" s="68">
        <f ca="1">SUM(AU27:AV27)</f>
        <v>0</v>
      </c>
      <c r="DO27" s="281"/>
      <c r="DP27">
        <f ca="1"/>
        <v>2</v>
      </c>
      <c r="DQ27" t="str">
        <f ca="1"/>
        <v>Engineering design</v>
      </c>
      <c r="DR27" s="73">
        <f ca="1"/>
        <v>4531.9000000000005</v>
      </c>
      <c r="DS27" s="74" t="str">
        <f ca="1"/>
        <v>N/A</v>
      </c>
      <c r="DT27" s="74" t="str">
        <f ca="1"/>
        <v>N/A</v>
      </c>
      <c r="DV27" t="str">
        <f ca="1"/>
        <v>Engineering design</v>
      </c>
      <c r="DW27" s="68">
        <f ca="1"/>
        <v>4531.9000000000005</v>
      </c>
      <c r="DX27" s="74">
        <f ca="1"/>
        <v>0</v>
      </c>
      <c r="EG27" s="281"/>
      <c r="EI27" s="85"/>
      <c r="EJ27" s="80"/>
      <c r="EK27" s="86"/>
      <c r="EL27" s="81"/>
      <c r="EM27" s="81"/>
      <c r="EN27" s="81"/>
      <c r="EO27" s="81"/>
      <c r="EP27" s="82"/>
      <c r="EQ27" s="87"/>
      <c r="ER27" s="88"/>
      <c r="EV27"/>
      <c r="EZ27" s="74"/>
      <c r="FA27" s="74"/>
      <c r="FB27" s="74"/>
      <c r="FC27" s="74"/>
      <c r="FD27" s="74"/>
      <c r="FE27" s="74"/>
      <c r="FF27" s="74"/>
      <c r="FG27" s="74"/>
      <c r="FH27" s="74"/>
      <c r="FI27" s="74"/>
      <c r="FJ27" s="74"/>
      <c r="FL27" s="281"/>
      <c r="FN27" s="142"/>
      <c r="FO27" s="17"/>
      <c r="FW27" s="281"/>
      <c r="FX27" t="s">
        <v>56</v>
      </c>
      <c r="FY27" s="17"/>
      <c r="GC27" s="281"/>
      <c r="GF27" s="68"/>
      <c r="GG27" s="68"/>
      <c r="GH27" s="127"/>
      <c r="GI27" s="127"/>
      <c r="GL27" s="17"/>
      <c r="GX27" s="17"/>
      <c r="GZ27" s="281"/>
      <c r="HB27" s="122"/>
      <c r="HC27" s="74"/>
      <c r="HD27" s="74"/>
      <c r="HE27" s="203"/>
      <c r="HF27" s="203"/>
      <c r="HG27" s="203"/>
      <c r="HH27" s="203"/>
      <c r="HI27" s="203"/>
      <c r="HJ27" s="203"/>
      <c r="HK27" s="174"/>
      <c r="HL27" s="175"/>
      <c r="HN27" s="281"/>
      <c r="HP27" s="123"/>
      <c r="HQ27" s="74"/>
      <c r="HY27" s="281"/>
    </row>
    <row r="28" spans="3:244" ht="15.6" thickTop="1" thickBot="1">
      <c r="C28" s="281"/>
      <c r="E28" s="157" t="s">
        <v>49</v>
      </c>
      <c r="F28" s="155">
        <v>0</v>
      </c>
      <c r="G28" s="155">
        <v>0</v>
      </c>
      <c r="H28" s="155">
        <v>0</v>
      </c>
      <c r="I28" s="155">
        <v>0</v>
      </c>
      <c r="J28" s="155">
        <v>0</v>
      </c>
      <c r="K28" s="155">
        <v>0</v>
      </c>
      <c r="L28" s="63">
        <f t="shared" si="18"/>
        <v>0</v>
      </c>
      <c r="M28" s="155">
        <v>0</v>
      </c>
      <c r="N28" s="155">
        <v>0</v>
      </c>
      <c r="O28" s="155">
        <v>1</v>
      </c>
      <c r="P28" s="155">
        <v>0</v>
      </c>
      <c r="Q28" s="155">
        <v>0</v>
      </c>
      <c r="T28" s="158" t="s">
        <v>56</v>
      </c>
      <c r="U28" s="155">
        <v>0.45356302165418505</v>
      </c>
      <c r="X28" s="158" t="s">
        <v>56</v>
      </c>
      <c r="Y28" s="54">
        <v>0.6</v>
      </c>
      <c r="Z28" s="54">
        <f ca="1">IFERROR(INDEX('Core Inputs Interface'!D:D,MATCH($X28,'Core Inputs Interface'!$C:$C,0)),0)</f>
        <v>0.1</v>
      </c>
      <c r="AA28" s="54">
        <f ca="1">IFERROR(INDEX('Core Inputs Interface'!E:E,MATCH($X28,'Core Inputs Interface'!$C:$C,0)),0)</f>
        <v>0.1</v>
      </c>
      <c r="AC28" s="281"/>
      <c r="AE28" s="59" t="str">
        <f t="shared" si="14"/>
        <v>Residential Building - high density</v>
      </c>
      <c r="AF28" s="57" t="s">
        <v>49</v>
      </c>
      <c r="AG28" s="60">
        <f t="shared" si="15"/>
        <v>46082</v>
      </c>
      <c r="AH28" s="79">
        <f ca="1">IFERROR(INDEX('Core Inputs Interface'!$1:$1048576,MATCH($AE28,'Core Inputs Interface'!$H:$H,0),MATCH($AG28,'Core Inputs Interface'!$17:$17,0)),"")</f>
        <v>633</v>
      </c>
      <c r="AI28" s="55">
        <f t="shared" si="8"/>
        <v>0</v>
      </c>
      <c r="AJ28" s="55">
        <f t="shared" si="1"/>
        <v>0.52451068102476561</v>
      </c>
      <c r="AK28" s="55">
        <f t="shared" si="2"/>
        <v>0.8</v>
      </c>
      <c r="AL28" s="55">
        <f t="shared" ca="1" si="9"/>
        <v>0.25</v>
      </c>
      <c r="AM28" s="65">
        <f t="shared" ca="1" si="3"/>
        <v>0</v>
      </c>
      <c r="AN28" s="66">
        <f t="shared" ca="1" si="4"/>
        <v>0</v>
      </c>
      <c r="AO28" s="56">
        <f t="shared" ca="1" si="10"/>
        <v>0</v>
      </c>
      <c r="AP28" t="str">
        <f t="shared" si="5"/>
        <v>Residential Building - high density_46082</v>
      </c>
      <c r="AQ28" t="str">
        <f t="shared" si="6"/>
        <v>Vehicles_46082</v>
      </c>
      <c r="AS28" s="281"/>
      <c r="AT28" t="str">
        <f ca="1"/>
        <v>Engineering design</v>
      </c>
      <c r="AU28" s="68">
        <f t="shared" ref="AU28:AV49" ca="1" si="19">SUMIFS($AM:$AM,$AQ:$AQ,_xlfn.TEXTJOIN("_",,$AT28,AU$26))</f>
        <v>0</v>
      </c>
      <c r="AV28" s="68">
        <f t="shared" ca="1" si="19"/>
        <v>0</v>
      </c>
      <c r="AW28" s="68">
        <f t="shared" ref="AW28:AW48" ca="1" si="20">SUM(AU28:AV28)</f>
        <v>0</v>
      </c>
      <c r="DO28" s="281"/>
      <c r="DP28">
        <f ca="1"/>
        <v>3</v>
      </c>
      <c r="DQ28" t="str">
        <f ca="1"/>
        <v>Reinforcing bar</v>
      </c>
      <c r="DR28" s="73">
        <f ca="1"/>
        <v>1474.9999999999998</v>
      </c>
      <c r="DS28" s="74">
        <f ca="1"/>
        <v>0.25</v>
      </c>
      <c r="DT28" s="74">
        <f ca="1"/>
        <v>0.25</v>
      </c>
      <c r="DV28" t="str">
        <f ca="1"/>
        <v>Plant and equipment</v>
      </c>
      <c r="DW28" s="68">
        <f ca="1"/>
        <v>4445.2250000000004</v>
      </c>
      <c r="DX28" s="74">
        <f ca="1"/>
        <v>0.25</v>
      </c>
      <c r="EG28" s="281"/>
      <c r="EI28" s="85"/>
      <c r="EJ28" s="80"/>
      <c r="EK28" s="86"/>
      <c r="EL28" s="81"/>
      <c r="EM28" s="81"/>
      <c r="EN28" s="81"/>
      <c r="EO28" s="81"/>
      <c r="EP28" s="82"/>
      <c r="EQ28" s="87"/>
      <c r="ER28" s="88"/>
      <c r="EV28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L28" s="281"/>
      <c r="FW28" s="281"/>
      <c r="FX28" t="s">
        <v>49</v>
      </c>
      <c r="FY28" s="17"/>
      <c r="GC28" s="281"/>
      <c r="GF28" s="129"/>
      <c r="GG28" s="129"/>
      <c r="GH28" s="128"/>
      <c r="GI28" s="128"/>
      <c r="GJ28" s="81"/>
      <c r="GK28" s="81"/>
      <c r="GL28" s="81"/>
      <c r="GM28" s="81"/>
      <c r="GN28" s="81"/>
      <c r="GO28" s="81"/>
      <c r="GP28" s="87"/>
      <c r="GQ28" s="87"/>
      <c r="GR28" s="88"/>
      <c r="GS28" s="88"/>
      <c r="GZ28" s="281"/>
      <c r="HB28" s="122"/>
      <c r="HC28" s="74"/>
      <c r="HD28" s="74"/>
      <c r="HE28" s="203"/>
      <c r="HF28" s="203"/>
      <c r="HG28" s="203"/>
      <c r="HH28" s="203"/>
      <c r="HI28" s="203"/>
      <c r="HJ28" s="203"/>
      <c r="HK28" s="174"/>
      <c r="HL28" s="175"/>
      <c r="HN28" s="281"/>
      <c r="HP28" s="123"/>
      <c r="HQ28" s="74"/>
      <c r="HY28" s="281"/>
    </row>
    <row r="29" spans="3:244" ht="15.6" thickTop="1" thickBot="1">
      <c r="C29" s="281"/>
      <c r="E29" s="157" t="s">
        <v>51</v>
      </c>
      <c r="F29" s="155">
        <v>0</v>
      </c>
      <c r="G29" s="155">
        <v>0</v>
      </c>
      <c r="H29" s="155">
        <v>0</v>
      </c>
      <c r="I29" s="155">
        <v>0</v>
      </c>
      <c r="J29" s="155">
        <v>0</v>
      </c>
      <c r="K29" s="155">
        <v>0</v>
      </c>
      <c r="L29" s="63">
        <f t="shared" si="18"/>
        <v>0</v>
      </c>
      <c r="M29" s="155">
        <v>0</v>
      </c>
      <c r="N29" s="155">
        <v>0</v>
      </c>
      <c r="O29" s="155">
        <v>0</v>
      </c>
      <c r="P29" s="155">
        <v>1</v>
      </c>
      <c r="Q29" s="155">
        <v>0</v>
      </c>
      <c r="T29" s="158" t="s">
        <v>49</v>
      </c>
      <c r="U29" s="155">
        <v>0.52451068102476561</v>
      </c>
      <c r="X29" s="158" t="s">
        <v>49</v>
      </c>
      <c r="Y29" s="54">
        <v>0.8</v>
      </c>
      <c r="Z29" s="54">
        <f ca="1">IFERROR(INDEX('Core Inputs Interface'!D:D,MATCH($X29,'Core Inputs Interface'!$C:$C,0)),0)</f>
        <v>0.25</v>
      </c>
      <c r="AA29" s="54">
        <f ca="1">IFERROR(INDEX('Core Inputs Interface'!E:E,MATCH($X29,'Core Inputs Interface'!$C:$C,0)),0)</f>
        <v>0.25</v>
      </c>
      <c r="AC29" s="281"/>
      <c r="AE29" s="59" t="str">
        <f>AE28</f>
        <v>Residential Building - high density</v>
      </c>
      <c r="AF29" s="57" t="s">
        <v>51</v>
      </c>
      <c r="AG29" s="60">
        <f>AG28</f>
        <v>46082</v>
      </c>
      <c r="AH29" s="79">
        <f ca="1">IFERROR(INDEX('Core Inputs Interface'!$1:$1048576,MATCH($AE29,'Core Inputs Interface'!$H:$H,0),MATCH($AG29,'Core Inputs Interface'!$17:$17,0)),"")</f>
        <v>633</v>
      </c>
      <c r="AI29" s="55">
        <f t="shared" si="8"/>
        <v>0</v>
      </c>
      <c r="AJ29" s="55">
        <f t="shared" si="1"/>
        <v>0.39238740022595126</v>
      </c>
      <c r="AK29" s="55">
        <f t="shared" si="2"/>
        <v>0.8</v>
      </c>
      <c r="AL29" s="55">
        <f t="shared" ca="1" si="9"/>
        <v>0.25</v>
      </c>
      <c r="AM29" s="65">
        <f t="shared" ca="1" si="3"/>
        <v>0</v>
      </c>
      <c r="AN29" s="66">
        <f t="shared" ca="1" si="4"/>
        <v>0</v>
      </c>
      <c r="AO29" s="56">
        <f ca="1">IFERROR(AM29/AN29,0)</f>
        <v>0</v>
      </c>
      <c r="AP29" t="str">
        <f t="shared" si="5"/>
        <v>Residential Building - high density_46082</v>
      </c>
      <c r="AQ29" t="str">
        <f t="shared" si="6"/>
        <v>Machinery &amp; Equipment_46082</v>
      </c>
      <c r="AS29" s="281"/>
      <c r="AT29" t="str">
        <f ca="1"/>
        <v>Reinforcing bar</v>
      </c>
      <c r="AU29" s="68">
        <f t="shared" ca="1" si="19"/>
        <v>9.0497073472165734</v>
      </c>
      <c r="AV29" s="68">
        <f t="shared" ca="1" si="19"/>
        <v>9.5499433772083968</v>
      </c>
      <c r="AW29" s="68">
        <f t="shared" ca="1" si="20"/>
        <v>18.599650724424968</v>
      </c>
      <c r="DO29" s="281"/>
      <c r="DP29">
        <f ca="1"/>
        <v>4</v>
      </c>
      <c r="DQ29" t="str">
        <f ca="1"/>
        <v>Structural steel</v>
      </c>
      <c r="DR29" s="73">
        <f ca="1"/>
        <v>1625.43</v>
      </c>
      <c r="DS29" s="74">
        <f ca="1"/>
        <v>0.25</v>
      </c>
      <c r="DT29" s="74">
        <f ca="1"/>
        <v>0.25</v>
      </c>
      <c r="DV29" t="str">
        <f ca="1"/>
        <v>Concrete</v>
      </c>
      <c r="DW29" s="68">
        <f ca="1"/>
        <v>3912.0299999999997</v>
      </c>
      <c r="DX29" s="74">
        <f ca="1"/>
        <v>0.25</v>
      </c>
      <c r="EG29" s="281"/>
      <c r="EI29" s="85"/>
      <c r="EJ29" s="80"/>
      <c r="EK29" s="86"/>
      <c r="EL29" s="81"/>
      <c r="EM29" s="81"/>
      <c r="EN29" s="81"/>
      <c r="EO29" s="81"/>
      <c r="EP29" s="82"/>
      <c r="EQ29" s="87"/>
      <c r="ER29" s="88"/>
      <c r="EV29"/>
      <c r="EZ29" s="74"/>
      <c r="FA29" s="74"/>
      <c r="FB29" s="74"/>
      <c r="FC29" s="74"/>
      <c r="FD29" s="74"/>
      <c r="FE29" s="74"/>
      <c r="FF29" s="74"/>
      <c r="FG29" s="74"/>
      <c r="FH29" s="74"/>
      <c r="FI29" s="74"/>
      <c r="FJ29" s="74"/>
      <c r="FL29" s="281"/>
      <c r="FW29" s="281"/>
      <c r="FX29" t="s">
        <v>122</v>
      </c>
      <c r="FY29" s="17"/>
      <c r="GC29" s="281"/>
      <c r="GF29" s="129"/>
      <c r="GG29" s="129"/>
      <c r="GH29" s="128"/>
      <c r="GI29" s="128"/>
      <c r="GJ29" s="81"/>
      <c r="GK29" s="81"/>
      <c r="GL29" s="81"/>
      <c r="GM29" s="81"/>
      <c r="GN29" s="81"/>
      <c r="GO29" s="81"/>
      <c r="GP29" s="87"/>
      <c r="GQ29" s="87"/>
      <c r="GR29" s="88"/>
      <c r="GS29" s="88"/>
      <c r="GZ29" s="281"/>
      <c r="HB29" s="122"/>
      <c r="HC29" s="74"/>
      <c r="HD29" s="74"/>
      <c r="HE29" s="203"/>
      <c r="HF29" s="203"/>
      <c r="HG29" s="203"/>
      <c r="HH29" s="203"/>
      <c r="HI29" s="203"/>
      <c r="HJ29" s="203"/>
      <c r="HK29" s="174"/>
      <c r="HL29" s="175"/>
      <c r="HN29" s="281"/>
      <c r="HP29" s="123"/>
      <c r="HQ29" s="74"/>
      <c r="HY29" s="281"/>
    </row>
    <row r="30" spans="3:244" ht="15.6" thickTop="1" thickBot="1">
      <c r="C30" s="281"/>
      <c r="E30" s="157" t="s">
        <v>53</v>
      </c>
      <c r="F30" s="155">
        <v>0</v>
      </c>
      <c r="G30" s="155">
        <v>0</v>
      </c>
      <c r="H30" s="155">
        <v>0</v>
      </c>
      <c r="I30" s="155">
        <v>0</v>
      </c>
      <c r="J30" s="155">
        <v>0</v>
      </c>
      <c r="K30" s="155">
        <v>0</v>
      </c>
      <c r="L30" s="63">
        <f t="shared" si="18"/>
        <v>0</v>
      </c>
      <c r="M30" s="155">
        <v>0</v>
      </c>
      <c r="N30" s="155">
        <v>0</v>
      </c>
      <c r="O30" s="155">
        <v>0</v>
      </c>
      <c r="P30" s="155">
        <v>0</v>
      </c>
      <c r="Q30" s="155">
        <v>1</v>
      </c>
      <c r="T30" s="158" t="s">
        <v>51</v>
      </c>
      <c r="U30" s="155">
        <v>0.39238740022595126</v>
      </c>
      <c r="X30" s="158" t="s">
        <v>51</v>
      </c>
      <c r="Y30" s="54">
        <v>0.8</v>
      </c>
      <c r="Z30" s="54">
        <f ca="1">IFERROR(INDEX('Core Inputs Interface'!D:D,MATCH($X30,'Core Inputs Interface'!$C:$C,0)),0)</f>
        <v>0.25</v>
      </c>
      <c r="AA30" s="54">
        <f ca="1">IFERROR(INDEX('Core Inputs Interface'!E:E,MATCH($X30,'Core Inputs Interface'!$C:$C,0)),0)</f>
        <v>0.25</v>
      </c>
      <c r="AC30" s="281"/>
      <c r="AE30" s="59" t="str">
        <f>AE29</f>
        <v>Residential Building - high density</v>
      </c>
      <c r="AF30" s="57" t="s">
        <v>53</v>
      </c>
      <c r="AG30" s="60">
        <f>AG29</f>
        <v>46082</v>
      </c>
      <c r="AH30" s="79">
        <f ca="1">IFERROR(INDEX('Core Inputs Interface'!$1:$1048576,MATCH($AE30,'Core Inputs Interface'!$H:$H,0),MATCH($AG30,'Core Inputs Interface'!$17:$17,0)),"")</f>
        <v>633</v>
      </c>
      <c r="AI30" s="55">
        <f t="shared" si="8"/>
        <v>0</v>
      </c>
      <c r="AJ30" s="55">
        <f t="shared" si="1"/>
        <v>0.15</v>
      </c>
      <c r="AK30" s="55">
        <f t="shared" si="2"/>
        <v>0.8</v>
      </c>
      <c r="AL30" s="55">
        <f t="shared" ca="1" si="9"/>
        <v>0.25</v>
      </c>
      <c r="AM30" s="65">
        <f t="shared" ca="1" si="3"/>
        <v>0</v>
      </c>
      <c r="AN30" s="66">
        <f t="shared" ca="1" si="4"/>
        <v>0</v>
      </c>
      <c r="AO30" s="56">
        <f ca="1">IFERROR(AM30/AN30,0)</f>
        <v>0</v>
      </c>
      <c r="AP30" t="str">
        <f t="shared" si="5"/>
        <v>Residential Building - high density_46082</v>
      </c>
      <c r="AQ30" t="str">
        <f t="shared" si="6"/>
        <v>Office Equipment &amp; IT_46082</v>
      </c>
      <c r="AS30" s="281"/>
      <c r="AT30" t="str">
        <f ca="1"/>
        <v>Structural steel</v>
      </c>
      <c r="AU30" s="68">
        <f t="shared" ca="1" si="19"/>
        <v>61.679179814352814</v>
      </c>
      <c r="AV30" s="68">
        <f t="shared" ca="1" si="19"/>
        <v>66.324687867324741</v>
      </c>
      <c r="AW30" s="68">
        <f t="shared" ca="1" si="20"/>
        <v>128.00386768167755</v>
      </c>
      <c r="DO30" s="281"/>
      <c r="DP30">
        <f ca="1"/>
        <v>5</v>
      </c>
      <c r="DQ30" t="str">
        <f ca="1"/>
        <v>Quarry Material</v>
      </c>
      <c r="DR30" s="73">
        <f ca="1"/>
        <v>792.24</v>
      </c>
      <c r="DS30" s="74">
        <f ca="1"/>
        <v>0.25</v>
      </c>
      <c r="DT30" s="74">
        <f ca="1"/>
        <v>0.25</v>
      </c>
      <c r="DV30" t="str">
        <f ca="1"/>
        <v>Diesel</v>
      </c>
      <c r="DW30" s="68">
        <f ca="1"/>
        <v>2938.8100000000004</v>
      </c>
      <c r="DX30" s="74">
        <f ca="1"/>
        <v>0.1</v>
      </c>
      <c r="EG30" s="281"/>
      <c r="EI30" s="85"/>
      <c r="EJ30" s="80"/>
      <c r="EK30" s="86"/>
      <c r="EL30" s="81"/>
      <c r="EM30" s="81"/>
      <c r="EN30" s="81"/>
      <c r="EO30" s="81"/>
      <c r="EP30" s="82"/>
      <c r="EQ30" s="87"/>
      <c r="ER30" s="88"/>
      <c r="EV30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L30" s="281"/>
      <c r="FW30" s="281"/>
      <c r="GC30" s="281"/>
      <c r="GF30" s="129"/>
      <c r="GG30" s="129"/>
      <c r="GH30" s="128"/>
      <c r="GI30" s="128"/>
      <c r="GJ30" s="81"/>
      <c r="GK30" s="81"/>
      <c r="GL30" s="81"/>
      <c r="GM30" s="81"/>
      <c r="GN30" s="81"/>
      <c r="GO30" s="81"/>
      <c r="GP30" s="87"/>
      <c r="GQ30" s="87"/>
      <c r="GR30" s="88"/>
      <c r="GS30" s="88"/>
      <c r="GZ30" s="281"/>
      <c r="HB30" s="122"/>
      <c r="HC30" s="74"/>
      <c r="HD30" s="74"/>
      <c r="HE30" s="203"/>
      <c r="HF30" s="203"/>
      <c r="HG30" s="203"/>
      <c r="HH30" s="203"/>
      <c r="HI30" s="203"/>
      <c r="HJ30" s="203"/>
      <c r="HK30" s="174"/>
      <c r="HL30" s="175"/>
      <c r="HN30" s="281"/>
      <c r="HP30" s="123"/>
      <c r="HQ30" s="74"/>
      <c r="HY30" s="281"/>
    </row>
    <row r="31" spans="3:244" ht="15.6" thickTop="1" thickBot="1">
      <c r="C31" s="281"/>
      <c r="E31" s="52" t="s">
        <v>117</v>
      </c>
      <c r="F31" s="53" t="b">
        <f>SUM(F9:F30)=1</f>
        <v>1</v>
      </c>
      <c r="G31" s="53" t="b">
        <f t="shared" ref="G31:Q31" si="21">SUM(G9:G30)=1</f>
        <v>1</v>
      </c>
      <c r="H31" s="53" t="b">
        <f t="shared" si="21"/>
        <v>1</v>
      </c>
      <c r="I31" s="53" t="b">
        <f t="shared" si="21"/>
        <v>1</v>
      </c>
      <c r="J31" s="53" t="b">
        <f t="shared" si="21"/>
        <v>1</v>
      </c>
      <c r="K31" s="53" t="b">
        <f t="shared" si="21"/>
        <v>1</v>
      </c>
      <c r="L31" s="53" t="b">
        <f t="shared" si="21"/>
        <v>1</v>
      </c>
      <c r="M31" s="53" t="b">
        <f t="shared" si="21"/>
        <v>1</v>
      </c>
      <c r="N31" s="53" t="b">
        <f t="shared" si="21"/>
        <v>1</v>
      </c>
      <c r="O31" s="53" t="b">
        <f t="shared" si="21"/>
        <v>1</v>
      </c>
      <c r="P31" s="53" t="b">
        <f t="shared" si="21"/>
        <v>1</v>
      </c>
      <c r="Q31" s="53" t="b">
        <f t="shared" si="21"/>
        <v>1</v>
      </c>
      <c r="T31" s="158" t="s">
        <v>53</v>
      </c>
      <c r="U31" s="155">
        <v>0.15</v>
      </c>
      <c r="X31" s="158" t="s">
        <v>53</v>
      </c>
      <c r="Y31" s="54">
        <v>0.8</v>
      </c>
      <c r="Z31" s="54">
        <f ca="1">IFERROR(INDEX('Core Inputs Interface'!D:D,MATCH($X31,'Core Inputs Interface'!$C:$C,0)),0)</f>
        <v>0.25</v>
      </c>
      <c r="AA31" s="54">
        <f ca="1">IFERROR(INDEX('Core Inputs Interface'!E:E,MATCH($X31,'Core Inputs Interface'!$C:$C,0)),0)</f>
        <v>0.25</v>
      </c>
      <c r="AC31" s="281"/>
      <c r="AE31" s="59" t="str">
        <f>AE28</f>
        <v>Residential Building - high density</v>
      </c>
      <c r="AF31" s="59" t="str">
        <f t="shared" ref="AF31:AF50" si="22">AF9</f>
        <v>Labour</v>
      </c>
      <c r="AG31" s="61">
        <f>EDATE(AG9,12)</f>
        <v>46447</v>
      </c>
      <c r="AH31" s="79">
        <f ca="1">IFERROR(INDEX('Core Inputs Interface'!$1:$1048576,MATCH($AE31,'Core Inputs Interface'!$H:$H,0),MATCH($AG31,'Core Inputs Interface'!$17:$17,0)),"")</f>
        <v>702</v>
      </c>
      <c r="AI31" s="55">
        <f t="shared" si="8"/>
        <v>0.39500000000000002</v>
      </c>
      <c r="AJ31" s="55" t="str">
        <f t="shared" si="1"/>
        <v>N/A</v>
      </c>
      <c r="AK31" s="55" t="str">
        <f t="shared" si="2"/>
        <v>N/A</v>
      </c>
      <c r="AL31" s="55" t="str">
        <f t="shared" ca="1" si="9"/>
        <v>N/A</v>
      </c>
      <c r="AM31" s="65">
        <f t="shared" ca="1" si="3"/>
        <v>0</v>
      </c>
      <c r="AN31" s="66">
        <f t="shared" ca="1" si="4"/>
        <v>277.29000000000002</v>
      </c>
      <c r="AO31" s="56">
        <f t="shared" ca="1" si="10"/>
        <v>0</v>
      </c>
      <c r="AP31" t="str">
        <f t="shared" si="5"/>
        <v>Residential Building - high density_46447</v>
      </c>
      <c r="AQ31" t="str">
        <f t="shared" si="6"/>
        <v>Labour_46447</v>
      </c>
      <c r="AS31" s="281"/>
      <c r="AT31" t="str">
        <f ca="1"/>
        <v>Quarry Material</v>
      </c>
      <c r="AU31" s="68">
        <f t="shared" ca="1" si="19"/>
        <v>5.2729590150098256</v>
      </c>
      <c r="AV31" s="68">
        <f t="shared" ca="1" si="19"/>
        <v>5.5416030903318543</v>
      </c>
      <c r="AW31" s="68">
        <f t="shared" ca="1" si="20"/>
        <v>10.814562105341679</v>
      </c>
      <c r="DO31" s="281"/>
      <c r="DP31">
        <f ca="1"/>
        <v>6</v>
      </c>
      <c r="DQ31" t="str">
        <f ca="1"/>
        <v>Concrete</v>
      </c>
      <c r="DR31" s="73">
        <f ca="1"/>
        <v>3912.0299999999997</v>
      </c>
      <c r="DS31" s="74">
        <f ca="1"/>
        <v>0.25</v>
      </c>
      <c r="DT31" s="74">
        <f ca="1"/>
        <v>0.25</v>
      </c>
      <c r="DV31" t="str">
        <f ca="1"/>
        <v>Bitumen</v>
      </c>
      <c r="DW31" s="68">
        <f ca="1"/>
        <v>2673.8100000000004</v>
      </c>
      <c r="DX31" s="74">
        <f ca="1"/>
        <v>0.25</v>
      </c>
      <c r="EG31" s="281"/>
      <c r="EI31" s="85"/>
      <c r="EJ31" s="80"/>
      <c r="EK31" s="86"/>
      <c r="EL31" s="81"/>
      <c r="EM31" s="81"/>
      <c r="EN31" s="81"/>
      <c r="EO31" s="81"/>
      <c r="EP31" s="82"/>
      <c r="EQ31" s="87"/>
      <c r="ER31" s="88"/>
      <c r="EV31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L31" s="281"/>
      <c r="FW31" s="281"/>
      <c r="GC31" s="281"/>
      <c r="GF31" s="129"/>
      <c r="GG31" s="129"/>
      <c r="GH31" s="128"/>
      <c r="GI31" s="128"/>
      <c r="GJ31" s="81"/>
      <c r="GK31" s="81"/>
      <c r="GL31" s="81"/>
      <c r="GM31" s="81"/>
      <c r="GN31" s="81"/>
      <c r="GO31" s="81"/>
      <c r="GP31" s="87"/>
      <c r="GQ31" s="87"/>
      <c r="GR31" s="88"/>
      <c r="GS31" s="88"/>
      <c r="GZ31" s="281"/>
      <c r="HB31" s="122"/>
      <c r="HC31" s="74"/>
      <c r="HD31" s="74"/>
      <c r="HE31" s="203"/>
      <c r="HF31" s="203"/>
      <c r="HG31" s="203"/>
      <c r="HH31" s="203"/>
      <c r="HI31" s="203"/>
      <c r="HJ31" s="203"/>
      <c r="HK31" s="174"/>
      <c r="HL31" s="175"/>
      <c r="HN31" s="281"/>
      <c r="HP31" s="123"/>
      <c r="HQ31" s="74"/>
      <c r="HY31" s="281"/>
    </row>
    <row r="32" spans="3:244" ht="15.6" thickTop="1" thickBot="1">
      <c r="C32" s="281"/>
      <c r="AC32" s="281"/>
      <c r="AE32" s="59" t="str">
        <f t="shared" si="14"/>
        <v>Residential Building - high density</v>
      </c>
      <c r="AF32" s="59" t="str">
        <f t="shared" si="22"/>
        <v>Engineering design</v>
      </c>
      <c r="AG32" s="60">
        <f>AG31</f>
        <v>46447</v>
      </c>
      <c r="AH32" s="79">
        <f ca="1">IFERROR(INDEX('Core Inputs Interface'!$1:$1048576,MATCH($AE32,'Core Inputs Interface'!$H:$H,0),MATCH($AG32,'Core Inputs Interface'!$17:$17,0)),"")</f>
        <v>702</v>
      </c>
      <c r="AI32" s="55">
        <f t="shared" si="8"/>
        <v>0.02</v>
      </c>
      <c r="AJ32" s="55" t="str">
        <f t="shared" si="1"/>
        <v>N/A</v>
      </c>
      <c r="AK32" s="55" t="str">
        <f t="shared" si="2"/>
        <v>N/A</v>
      </c>
      <c r="AL32" s="55" t="str">
        <f t="shared" ca="1" si="9"/>
        <v>N/A</v>
      </c>
      <c r="AM32" s="65">
        <f t="shared" ca="1" si="3"/>
        <v>0</v>
      </c>
      <c r="AN32" s="66">
        <f t="shared" ca="1" si="4"/>
        <v>14.040000000000001</v>
      </c>
      <c r="AO32" s="56">
        <f t="shared" ca="1" si="10"/>
        <v>0</v>
      </c>
      <c r="AP32" t="str">
        <f t="shared" si="5"/>
        <v>Residential Building - high density_46447</v>
      </c>
      <c r="AQ32" t="str">
        <f t="shared" si="6"/>
        <v>Engineering design_46447</v>
      </c>
      <c r="AS32" s="281"/>
      <c r="AT32" t="str">
        <f ca="1"/>
        <v>Concrete</v>
      </c>
      <c r="AU32" s="68">
        <f t="shared" ca="1" si="19"/>
        <v>3.2820254029385283</v>
      </c>
      <c r="AV32" s="68">
        <f t="shared" ca="1" si="19"/>
        <v>3.450138922767942</v>
      </c>
      <c r="AW32" s="68">
        <f t="shared" ca="1" si="20"/>
        <v>6.7321643257064707</v>
      </c>
      <c r="DO32" s="281"/>
      <c r="DP32">
        <f ca="1"/>
        <v>7</v>
      </c>
      <c r="DQ32" t="str">
        <f ca="1"/>
        <v>Masonry</v>
      </c>
      <c r="DR32" s="73">
        <f ca="1"/>
        <v>245.59000000000003</v>
      </c>
      <c r="DS32" s="74">
        <f ca="1"/>
        <v>0.25</v>
      </c>
      <c r="DT32" s="74">
        <f ca="1"/>
        <v>0.25</v>
      </c>
      <c r="DV32" t="str">
        <f ca="1"/>
        <v>Structural steel</v>
      </c>
      <c r="DW32" s="68">
        <f ca="1"/>
        <v>1625.43</v>
      </c>
      <c r="DX32" s="74">
        <f ca="1"/>
        <v>0.25</v>
      </c>
      <c r="EG32" s="281"/>
      <c r="EI32" s="85"/>
      <c r="EJ32" s="80"/>
      <c r="EK32" s="86"/>
      <c r="EL32" s="81"/>
      <c r="EM32" s="81"/>
      <c r="EN32" s="81"/>
      <c r="EO32" s="81"/>
      <c r="EP32" s="82"/>
      <c r="EQ32" s="87"/>
      <c r="ER32" s="88"/>
      <c r="EV32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L32" s="281"/>
      <c r="FW32" s="281"/>
      <c r="GC32" s="281"/>
      <c r="GF32" s="129"/>
      <c r="GG32" s="129"/>
      <c r="GH32" s="128"/>
      <c r="GI32" s="128"/>
      <c r="GJ32" s="81"/>
      <c r="GK32" s="81"/>
      <c r="GL32" s="81"/>
      <c r="GM32" s="81"/>
      <c r="GN32" s="81"/>
      <c r="GO32" s="81"/>
      <c r="GP32" s="87"/>
      <c r="GQ32" s="87"/>
      <c r="GR32" s="88"/>
      <c r="GS32" s="88"/>
      <c r="GZ32" s="281"/>
      <c r="HB32" s="122"/>
      <c r="HC32" s="74"/>
      <c r="HD32" s="74"/>
      <c r="HE32" s="203"/>
      <c r="HF32" s="203"/>
      <c r="HG32" s="203"/>
      <c r="HH32" s="203"/>
      <c r="HI32" s="203"/>
      <c r="HJ32" s="203"/>
      <c r="HK32" s="174"/>
      <c r="HL32" s="175"/>
      <c r="HN32" s="281"/>
      <c r="HP32" s="17"/>
      <c r="HY32" s="281"/>
    </row>
    <row r="33" spans="3:233" ht="15.6" thickTop="1" thickBot="1">
      <c r="C33" s="281"/>
      <c r="AC33" s="281"/>
      <c r="AE33" s="59" t="str">
        <f t="shared" si="14"/>
        <v>Residential Building - high density</v>
      </c>
      <c r="AF33" s="59" t="str">
        <f t="shared" si="22"/>
        <v>Reinforcing bar</v>
      </c>
      <c r="AG33" s="60">
        <f t="shared" ref="AG33:AG50" si="23">AG32</f>
        <v>46447</v>
      </c>
      <c r="AH33" s="79">
        <f ca="1">IFERROR(INDEX('Core Inputs Interface'!$1:$1048576,MATCH($AE33,'Core Inputs Interface'!$H:$H,0),MATCH($AG33,'Core Inputs Interface'!$17:$17,0)),"")</f>
        <v>702</v>
      </c>
      <c r="AI33" s="55">
        <f t="shared" si="8"/>
        <v>0.08</v>
      </c>
      <c r="AJ33" s="55">
        <f t="shared" si="1"/>
        <v>8.4066217963502693E-2</v>
      </c>
      <c r="AK33" s="55">
        <f t="shared" si="2"/>
        <v>0.6</v>
      </c>
      <c r="AL33" s="55">
        <f t="shared" ca="1" si="9"/>
        <v>0.25</v>
      </c>
      <c r="AM33" s="65">
        <f t="shared" ca="1" si="3"/>
        <v>0.70817382012454666</v>
      </c>
      <c r="AN33" s="66">
        <f t="shared" ca="1" si="4"/>
        <v>56.160000000000004</v>
      </c>
      <c r="AO33" s="56">
        <f t="shared" ca="1" si="10"/>
        <v>1.2609932694525403E-2</v>
      </c>
      <c r="AP33" t="str">
        <f t="shared" si="5"/>
        <v>Residential Building - high density_46447</v>
      </c>
      <c r="AQ33" t="str">
        <f t="shared" si="6"/>
        <v>Reinforcing bar_46447</v>
      </c>
      <c r="AS33" s="281"/>
      <c r="AT33" t="str">
        <f ca="1"/>
        <v>Masonry</v>
      </c>
      <c r="AU33" s="68">
        <f t="shared" ca="1" si="19"/>
        <v>1.7635736343917616</v>
      </c>
      <c r="AV33" s="68">
        <f t="shared" ca="1" si="19"/>
        <v>1.8617385684229428</v>
      </c>
      <c r="AW33" s="68">
        <f t="shared" ca="1" si="20"/>
        <v>3.6253122028147047</v>
      </c>
      <c r="DO33" s="281"/>
      <c r="DP33">
        <f ca="1"/>
        <v>8</v>
      </c>
      <c r="DQ33" t="str">
        <f ca="1"/>
        <v>Wood</v>
      </c>
      <c r="DR33" s="73">
        <f ca="1"/>
        <v>240.20999999999998</v>
      </c>
      <c r="DS33" s="74">
        <f ca="1"/>
        <v>0.25</v>
      </c>
      <c r="DT33" s="74">
        <f ca="1"/>
        <v>0.25</v>
      </c>
      <c r="DV33" t="str">
        <f ca="1"/>
        <v>Reinforcing bar</v>
      </c>
      <c r="DW33" s="68">
        <f ca="1"/>
        <v>1474.9999999999998</v>
      </c>
      <c r="DX33" s="74">
        <f ca="1"/>
        <v>0.25</v>
      </c>
      <c r="EG33" s="281"/>
      <c r="EI33" s="85"/>
      <c r="EJ33" s="80"/>
      <c r="EK33" s="86"/>
      <c r="EL33" s="81"/>
      <c r="EM33" s="81"/>
      <c r="EN33" s="81"/>
      <c r="EO33" s="81"/>
      <c r="EP33" s="82"/>
      <c r="EQ33" s="87"/>
      <c r="ER33" s="88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L33" s="281"/>
      <c r="FW33" s="281"/>
      <c r="GC33" s="281"/>
      <c r="GF33" s="129"/>
      <c r="GG33" s="129"/>
      <c r="GH33" s="128"/>
      <c r="GI33" s="128"/>
      <c r="GJ33" s="81"/>
      <c r="GK33" s="81"/>
      <c r="GL33" s="81"/>
      <c r="GM33" s="81"/>
      <c r="GN33" s="81"/>
      <c r="GO33" s="81"/>
      <c r="GP33" s="87"/>
      <c r="GQ33" s="87"/>
      <c r="GR33" s="88"/>
      <c r="GS33" s="88"/>
      <c r="GX33" s="17"/>
      <c r="GZ33" s="281"/>
      <c r="HB33" s="122"/>
      <c r="HC33" s="74"/>
      <c r="HD33" s="74"/>
      <c r="HE33" s="203"/>
      <c r="HF33" s="203"/>
      <c r="HG33" s="203"/>
      <c r="HH33" s="203"/>
      <c r="HI33" s="203"/>
      <c r="HJ33" s="203"/>
      <c r="HK33" s="174"/>
      <c r="HL33" s="175"/>
      <c r="HN33" s="281"/>
      <c r="HP33" s="17"/>
      <c r="HY33" s="281"/>
    </row>
    <row r="34" spans="3:233" ht="15.6" thickTop="1" thickBot="1">
      <c r="C34" s="281"/>
      <c r="AC34" s="281"/>
      <c r="AE34" s="59" t="str">
        <f t="shared" si="14"/>
        <v>Residential Building - high density</v>
      </c>
      <c r="AF34" s="59" t="str">
        <f t="shared" si="22"/>
        <v>Structural steel</v>
      </c>
      <c r="AG34" s="60">
        <f t="shared" si="23"/>
        <v>46447</v>
      </c>
      <c r="AH34" s="79">
        <f ca="1">IFERROR(INDEX('Core Inputs Interface'!$1:$1048576,MATCH($AE34,'Core Inputs Interface'!$H:$H,0),MATCH($AG34,'Core Inputs Interface'!$17:$17,0)),"")</f>
        <v>702</v>
      </c>
      <c r="AI34" s="55">
        <f t="shared" si="8"/>
        <v>0.04</v>
      </c>
      <c r="AJ34" s="55">
        <f t="shared" si="1"/>
        <v>0.52500514810102583</v>
      </c>
      <c r="AK34" s="55">
        <f t="shared" si="2"/>
        <v>0.6</v>
      </c>
      <c r="AL34" s="55">
        <f t="shared" ca="1" si="9"/>
        <v>0.25</v>
      </c>
      <c r="AM34" s="65">
        <f t="shared" ca="1" si="3"/>
        <v>2.2113216838015206</v>
      </c>
      <c r="AN34" s="66">
        <f t="shared" ca="1" si="4"/>
        <v>28.080000000000002</v>
      </c>
      <c r="AO34" s="56">
        <f t="shared" ca="1" si="10"/>
        <v>7.8750772215153864E-2</v>
      </c>
      <c r="AP34" t="str">
        <f t="shared" si="5"/>
        <v>Residential Building - high density_46447</v>
      </c>
      <c r="AQ34" t="str">
        <f t="shared" si="6"/>
        <v>Structural steel_46447</v>
      </c>
      <c r="AS34" s="281"/>
      <c r="AT34" t="str">
        <f ca="1"/>
        <v>Wood</v>
      </c>
      <c r="AU34" s="68">
        <f t="shared" ca="1" si="19"/>
        <v>2.4105859688589253</v>
      </c>
      <c r="AV34" s="68">
        <f t="shared" ca="1" si="19"/>
        <v>2.5764681658375044</v>
      </c>
      <c r="AW34" s="68">
        <f t="shared" ca="1" si="20"/>
        <v>4.9870541346964297</v>
      </c>
      <c r="DO34" s="281"/>
      <c r="DP34">
        <f ca="1"/>
        <v>9</v>
      </c>
      <c r="DQ34" t="str">
        <f ca="1"/>
        <v>Electrical wire</v>
      </c>
      <c r="DR34" s="73">
        <f ca="1"/>
        <v>921.31000000000017</v>
      </c>
      <c r="DS34" s="74">
        <f ca="1"/>
        <v>0.25</v>
      </c>
      <c r="DT34" s="74">
        <f ca="1"/>
        <v>0.25</v>
      </c>
      <c r="DV34" t="str">
        <f ca="1"/>
        <v>Vehicles</v>
      </c>
      <c r="DW34" s="68">
        <f ca="1"/>
        <v>1341</v>
      </c>
      <c r="DX34" s="74">
        <f ca="1"/>
        <v>0.25</v>
      </c>
      <c r="EG34" s="281"/>
      <c r="EI34" s="85"/>
      <c r="EJ34" s="80"/>
      <c r="EK34" s="86"/>
      <c r="EL34" s="81"/>
      <c r="EM34" s="81"/>
      <c r="EN34" s="81"/>
      <c r="EO34" s="81"/>
      <c r="EP34" s="82"/>
      <c r="EQ34" s="87"/>
      <c r="ER34" s="88"/>
      <c r="EZ34" s="74"/>
      <c r="FA34" s="74"/>
      <c r="FB34" s="74"/>
      <c r="FC34" s="74"/>
      <c r="FD34" s="74"/>
      <c r="FE34" s="74"/>
      <c r="FF34" s="74"/>
      <c r="FG34" s="74"/>
      <c r="FH34" s="74"/>
      <c r="FI34" s="74"/>
      <c r="FJ34" s="74"/>
      <c r="FL34" s="281"/>
      <c r="FW34" s="281"/>
      <c r="GC34" s="281"/>
      <c r="GF34" s="129"/>
      <c r="GG34" s="129"/>
      <c r="GH34" s="128"/>
      <c r="GI34" s="128"/>
      <c r="GJ34" s="81"/>
      <c r="GK34" s="81"/>
      <c r="GL34" s="81"/>
      <c r="GM34" s="81"/>
      <c r="GN34" s="81"/>
      <c r="GO34" s="81"/>
      <c r="GP34" s="87"/>
      <c r="GQ34" s="87"/>
      <c r="GR34" s="88"/>
      <c r="GS34" s="88"/>
      <c r="GX34" s="17"/>
      <c r="GZ34" s="281"/>
      <c r="HB34" s="122"/>
      <c r="HC34" s="74"/>
      <c r="HD34" s="74"/>
      <c r="HE34" s="203"/>
      <c r="HF34" s="203"/>
      <c r="HG34" s="203"/>
      <c r="HH34" s="203"/>
      <c r="HI34" s="203"/>
      <c r="HJ34" s="203"/>
      <c r="HK34" s="174"/>
      <c r="HL34" s="175"/>
      <c r="HN34" s="281"/>
      <c r="HP34" s="17"/>
      <c r="HY34" s="281"/>
    </row>
    <row r="35" spans="3:233" ht="15.6" thickTop="1" thickBot="1">
      <c r="C35" s="281"/>
      <c r="AC35" s="281"/>
      <c r="AE35" s="59" t="str">
        <f t="shared" si="14"/>
        <v>Residential Building - high density</v>
      </c>
      <c r="AF35" s="59" t="str">
        <f t="shared" si="22"/>
        <v>Quarry Material</v>
      </c>
      <c r="AG35" s="60">
        <f t="shared" si="23"/>
        <v>46447</v>
      </c>
      <c r="AH35" s="79">
        <f ca="1">IFERROR(INDEX('Core Inputs Interface'!$1:$1048576,MATCH($AE35,'Core Inputs Interface'!$H:$H,0),MATCH($AG35,'Core Inputs Interface'!$17:$17,0)),"")</f>
        <v>702</v>
      </c>
      <c r="AI35" s="55">
        <f t="shared" si="8"/>
        <v>0</v>
      </c>
      <c r="AJ35" s="55">
        <f t="shared" si="1"/>
        <v>9.1004090556242881E-2</v>
      </c>
      <c r="AK35" s="55">
        <f t="shared" si="2"/>
        <v>0.6</v>
      </c>
      <c r="AL35" s="55">
        <f t="shared" ca="1" si="9"/>
        <v>0.25</v>
      </c>
      <c r="AM35" s="65">
        <f t="shared" ca="1" si="3"/>
        <v>0</v>
      </c>
      <c r="AN35" s="66">
        <f t="shared" ca="1" si="4"/>
        <v>0</v>
      </c>
      <c r="AO35" s="56">
        <f t="shared" ca="1" si="10"/>
        <v>0</v>
      </c>
      <c r="AP35" t="str">
        <f t="shared" si="5"/>
        <v>Residential Building - high density_46447</v>
      </c>
      <c r="AQ35" t="str">
        <f t="shared" si="6"/>
        <v>Quarry Material_46447</v>
      </c>
      <c r="AS35" s="281"/>
      <c r="AT35" t="str">
        <f ca="1"/>
        <v>Electrical wire</v>
      </c>
      <c r="AU35" s="68">
        <f t="shared" ca="1" si="19"/>
        <v>54.291777254095962</v>
      </c>
      <c r="AV35" s="68">
        <f t="shared" ca="1" si="19"/>
        <v>57.169933464263842</v>
      </c>
      <c r="AW35" s="68">
        <f t="shared" ca="1" si="20"/>
        <v>111.4617107183598</v>
      </c>
      <c r="DO35" s="281"/>
      <c r="DP35">
        <f ca="1"/>
        <v>10</v>
      </c>
      <c r="DQ35" t="str">
        <f ca="1"/>
        <v>Glass</v>
      </c>
      <c r="DR35" s="73">
        <f ca="1"/>
        <v>520.15</v>
      </c>
      <c r="DS35" s="74">
        <f ca="1"/>
        <v>0.25</v>
      </c>
      <c r="DT35" s="74">
        <f ca="1"/>
        <v>0.25</v>
      </c>
      <c r="DV35" t="str">
        <f ca="1"/>
        <v>Electrical wire</v>
      </c>
      <c r="DW35" s="68">
        <f ca="1"/>
        <v>921.31000000000017</v>
      </c>
      <c r="DX35" s="74">
        <f ca="1"/>
        <v>0.25</v>
      </c>
      <c r="EG35" s="281"/>
      <c r="EI35" s="85"/>
      <c r="EJ35" s="80"/>
      <c r="EK35" s="86"/>
      <c r="EL35" s="81"/>
      <c r="EM35" s="81"/>
      <c r="EN35" s="81"/>
      <c r="EO35" s="81"/>
      <c r="EP35" s="82"/>
      <c r="EQ35" s="87"/>
      <c r="ER35" s="88"/>
      <c r="EZ35" s="74"/>
      <c r="FA35" s="74"/>
      <c r="FB35" s="74"/>
      <c r="FC35" s="74"/>
      <c r="FD35" s="74"/>
      <c r="FE35" s="74"/>
      <c r="FF35" s="74"/>
      <c r="FG35" s="74"/>
      <c r="FH35" s="74"/>
      <c r="FI35" s="74"/>
      <c r="FJ35" s="74"/>
      <c r="FL35" s="281"/>
      <c r="FW35" s="281"/>
      <c r="GC35" s="281"/>
      <c r="GF35" s="129"/>
      <c r="GG35" s="129"/>
      <c r="GH35" s="128"/>
      <c r="GI35" s="128"/>
      <c r="GJ35" s="81"/>
      <c r="GK35" s="81"/>
      <c r="GL35" s="81"/>
      <c r="GM35" s="81"/>
      <c r="GN35" s="81"/>
      <c r="GO35" s="81"/>
      <c r="GP35" s="87"/>
      <c r="GQ35" s="87"/>
      <c r="GR35" s="88"/>
      <c r="GS35" s="88"/>
      <c r="GX35" s="17"/>
      <c r="GZ35" s="281"/>
      <c r="HB35" s="122"/>
      <c r="HC35" s="74"/>
      <c r="HD35" s="74"/>
      <c r="HE35" s="203"/>
      <c r="HF35" s="203"/>
      <c r="HG35" s="203"/>
      <c r="HH35" s="203"/>
      <c r="HI35" s="203"/>
      <c r="HJ35" s="203"/>
      <c r="HK35" s="174"/>
      <c r="HL35" s="175"/>
      <c r="HN35" s="281"/>
      <c r="HP35" s="17"/>
      <c r="HY35" s="281"/>
    </row>
    <row r="36" spans="3:233" ht="15.6" thickTop="1" thickBot="1">
      <c r="C36" s="281"/>
      <c r="AC36" s="281"/>
      <c r="AE36" s="59" t="str">
        <f t="shared" si="14"/>
        <v>Residential Building - high density</v>
      </c>
      <c r="AF36" s="59" t="str">
        <f t="shared" si="22"/>
        <v>Concrete</v>
      </c>
      <c r="AG36" s="60">
        <f t="shared" si="23"/>
        <v>46447</v>
      </c>
      <c r="AH36" s="79">
        <f ca="1">IFERROR(INDEX('Core Inputs Interface'!$1:$1048576,MATCH($AE36,'Core Inputs Interface'!$H:$H,0),MATCH($AG36,'Core Inputs Interface'!$17:$17,0)),"")</f>
        <v>702</v>
      </c>
      <c r="AI36" s="55">
        <f t="shared" si="8"/>
        <v>0.1</v>
      </c>
      <c r="AJ36" s="55">
        <f t="shared" si="1"/>
        <v>1.1472584695084088E-2</v>
      </c>
      <c r="AK36" s="55">
        <f t="shared" si="2"/>
        <v>0.6</v>
      </c>
      <c r="AL36" s="55">
        <f t="shared" ca="1" si="9"/>
        <v>0.25</v>
      </c>
      <c r="AM36" s="65">
        <f t="shared" ca="1" si="3"/>
        <v>0.12080631683923546</v>
      </c>
      <c r="AN36" s="66">
        <f t="shared" ca="1" si="4"/>
        <v>70.2</v>
      </c>
      <c r="AO36" s="56">
        <f t="shared" ca="1" si="10"/>
        <v>1.7208877042626132E-3</v>
      </c>
      <c r="AP36" t="str">
        <f t="shared" si="5"/>
        <v>Residential Building - high density_46447</v>
      </c>
      <c r="AQ36" t="str">
        <f t="shared" si="6"/>
        <v>Concrete_46447</v>
      </c>
      <c r="AS36" s="281"/>
      <c r="AT36" t="str">
        <f ca="1"/>
        <v>Glass</v>
      </c>
      <c r="AU36" s="68">
        <f t="shared" ca="1" si="19"/>
        <v>9.1761906143341889</v>
      </c>
      <c r="AV36" s="68">
        <f t="shared" ca="1" si="19"/>
        <v>9.7132962783598433</v>
      </c>
      <c r="AW36" s="68">
        <f t="shared" ca="1" si="20"/>
        <v>18.88948689269403</v>
      </c>
      <c r="DO36" s="281"/>
      <c r="DP36">
        <f ca="1"/>
        <v>11</v>
      </c>
      <c r="DQ36" t="str">
        <f ca="1"/>
        <v>Roofing</v>
      </c>
      <c r="DR36" s="73">
        <f ca="1"/>
        <v>812.7650000000001</v>
      </c>
      <c r="DS36" s="74">
        <f ca="1"/>
        <v>0.25</v>
      </c>
      <c r="DT36" s="74">
        <f ca="1"/>
        <v>0.25</v>
      </c>
      <c r="DV36" t="str">
        <f ca="1"/>
        <v>Roofing</v>
      </c>
      <c r="DW36" s="68">
        <f ca="1"/>
        <v>812.7650000000001</v>
      </c>
      <c r="DX36" s="74">
        <f ca="1"/>
        <v>0.25</v>
      </c>
      <c r="EG36" s="281"/>
      <c r="EI36" s="85"/>
      <c r="EJ36" s="80"/>
      <c r="EK36" s="86"/>
      <c r="EL36" s="81"/>
      <c r="EM36" s="81"/>
      <c r="EN36" s="81"/>
      <c r="EO36" s="81"/>
      <c r="EP36" s="82"/>
      <c r="EQ36" s="87"/>
      <c r="ER36" s="88"/>
      <c r="EZ36" s="74"/>
      <c r="FA36" s="74"/>
      <c r="FB36" s="74"/>
      <c r="FC36" s="74"/>
      <c r="FD36" s="74"/>
      <c r="FE36" s="74"/>
      <c r="FF36" s="74"/>
      <c r="FG36" s="74"/>
      <c r="FH36" s="74"/>
      <c r="FI36" s="74"/>
      <c r="FJ36" s="74"/>
      <c r="FL36" s="281"/>
      <c r="FW36" s="281"/>
      <c r="GC36" s="281"/>
      <c r="GF36" s="129"/>
      <c r="GG36" s="129"/>
      <c r="GH36" s="128"/>
      <c r="GI36" s="128"/>
      <c r="GJ36" s="81"/>
      <c r="GK36" s="81"/>
      <c r="GL36" s="81"/>
      <c r="GM36" s="81"/>
      <c r="GN36" s="81"/>
      <c r="GO36" s="81"/>
      <c r="GP36" s="87"/>
      <c r="GQ36" s="87"/>
      <c r="GR36" s="88"/>
      <c r="GS36" s="88"/>
      <c r="GX36" s="17"/>
      <c r="GZ36" s="281"/>
      <c r="HB36" s="122"/>
      <c r="HC36" s="74"/>
      <c r="HD36" s="74"/>
      <c r="HE36" s="203"/>
      <c r="HF36" s="203"/>
      <c r="HG36" s="203"/>
      <c r="HH36" s="203"/>
      <c r="HI36" s="203"/>
      <c r="HJ36" s="203"/>
      <c r="HK36" s="174"/>
      <c r="HL36" s="175"/>
      <c r="HN36" s="281"/>
      <c r="HP36" s="17"/>
      <c r="HY36" s="281"/>
    </row>
    <row r="37" spans="3:233" ht="15.6" thickTop="1" thickBot="1">
      <c r="C37" s="281"/>
      <c r="AC37" s="281"/>
      <c r="AE37" s="59" t="str">
        <f t="shared" si="14"/>
        <v>Residential Building - high density</v>
      </c>
      <c r="AF37" s="59" t="str">
        <f t="shared" si="22"/>
        <v>Masonry</v>
      </c>
      <c r="AG37" s="60">
        <f t="shared" si="23"/>
        <v>46447</v>
      </c>
      <c r="AH37" s="79">
        <f ca="1">IFERROR(INDEX('Core Inputs Interface'!$1:$1048576,MATCH($AE37,'Core Inputs Interface'!$H:$H,0),MATCH($AG37,'Core Inputs Interface'!$17:$17,0)),"")</f>
        <v>702</v>
      </c>
      <c r="AI37" s="55">
        <f t="shared" si="8"/>
        <v>0.01</v>
      </c>
      <c r="AJ37" s="55">
        <f t="shared" si="1"/>
        <v>9.8410961434768088E-2</v>
      </c>
      <c r="AK37" s="55">
        <f t="shared" si="2"/>
        <v>0.6</v>
      </c>
      <c r="AL37" s="55">
        <f t="shared" ca="1" si="9"/>
        <v>0.25</v>
      </c>
      <c r="AM37" s="65">
        <f t="shared" ca="1" si="3"/>
        <v>0.10362674239081081</v>
      </c>
      <c r="AN37" s="66">
        <f t="shared" ca="1" si="4"/>
        <v>7.0200000000000005</v>
      </c>
      <c r="AO37" s="56">
        <f t="shared" ca="1" si="10"/>
        <v>1.4761644215215215E-2</v>
      </c>
      <c r="AP37" t="str">
        <f t="shared" si="5"/>
        <v>Residential Building - high density_46447</v>
      </c>
      <c r="AQ37" t="str">
        <f t="shared" si="6"/>
        <v>Masonry_46447</v>
      </c>
      <c r="AS37" s="281"/>
      <c r="AT37" t="str">
        <f ca="1"/>
        <v>Roofing</v>
      </c>
      <c r="AU37" s="68">
        <f t="shared" ca="1" si="19"/>
        <v>1.4657218974820098E-2</v>
      </c>
      <c r="AV37" s="68">
        <f t="shared" ca="1" si="19"/>
        <v>1.5544392352664489E-2</v>
      </c>
      <c r="AW37" s="68">
        <f t="shared" ca="1" si="20"/>
        <v>3.0201611327484584E-2</v>
      </c>
      <c r="DO37" s="281"/>
      <c r="DP37">
        <f ca="1"/>
        <v>12</v>
      </c>
      <c r="DQ37" t="str">
        <f ca="1"/>
        <v>Interior</v>
      </c>
      <c r="DR37" s="73">
        <f ca="1"/>
        <v>417.83000000000004</v>
      </c>
      <c r="DS37" s="74">
        <f ca="1"/>
        <v>0.25</v>
      </c>
      <c r="DT37" s="74">
        <f ca="1"/>
        <v>0.25</v>
      </c>
      <c r="DV37" t="str">
        <f ca="1"/>
        <v>Quarry Material</v>
      </c>
      <c r="DW37" s="68">
        <f ca="1"/>
        <v>792.24</v>
      </c>
      <c r="DX37" s="74">
        <f ca="1"/>
        <v>0.25</v>
      </c>
      <c r="EG37" s="281"/>
      <c r="EI37" s="85"/>
      <c r="EJ37" s="80"/>
      <c r="EK37" s="86"/>
      <c r="EL37" s="81"/>
      <c r="EM37" s="81"/>
      <c r="EN37" s="81"/>
      <c r="EO37" s="81"/>
      <c r="EP37" s="82"/>
      <c r="EQ37" s="87"/>
      <c r="ER37" s="88"/>
      <c r="EZ37" s="74"/>
      <c r="FA37" s="74"/>
      <c r="FB37" s="74"/>
      <c r="FC37" s="74"/>
      <c r="FD37" s="74"/>
      <c r="FE37" s="74"/>
      <c r="FF37" s="74"/>
      <c r="FG37" s="74"/>
      <c r="FH37" s="74"/>
      <c r="FI37" s="74"/>
      <c r="FJ37" s="74"/>
      <c r="FL37" s="281"/>
      <c r="FW37" s="281"/>
      <c r="GC37" s="281"/>
      <c r="GF37" s="129"/>
      <c r="GG37" s="129"/>
      <c r="GH37" s="128"/>
      <c r="GI37" s="128"/>
      <c r="GJ37" s="81"/>
      <c r="GK37" s="81"/>
      <c r="GL37" s="81"/>
      <c r="GM37" s="81"/>
      <c r="GN37" s="81"/>
      <c r="GO37" s="81"/>
      <c r="GP37" s="87"/>
      <c r="GQ37" s="87"/>
      <c r="GR37" s="88"/>
      <c r="GS37" s="88"/>
      <c r="GX37" s="17"/>
      <c r="GZ37" s="281"/>
      <c r="HB37" s="122"/>
      <c r="HC37" s="74"/>
      <c r="HD37" s="74"/>
      <c r="HE37" s="203"/>
      <c r="HF37" s="203"/>
      <c r="HG37" s="203"/>
      <c r="HH37" s="203"/>
      <c r="HI37" s="203"/>
      <c r="HJ37" s="203"/>
      <c r="HK37" s="174"/>
      <c r="HL37" s="175"/>
      <c r="HN37" s="281"/>
      <c r="HP37" s="17"/>
      <c r="HY37" s="281"/>
    </row>
    <row r="38" spans="3:233" ht="15.6" thickTop="1" thickBot="1">
      <c r="C38" s="281"/>
      <c r="AC38" s="281"/>
      <c r="AE38" s="59" t="str">
        <f t="shared" si="14"/>
        <v>Residential Building - high density</v>
      </c>
      <c r="AF38" s="59" t="str">
        <f t="shared" si="22"/>
        <v>Wood</v>
      </c>
      <c r="AG38" s="60">
        <f t="shared" si="23"/>
        <v>46447</v>
      </c>
      <c r="AH38" s="79">
        <f ca="1">IFERROR(INDEX('Core Inputs Interface'!$1:$1048576,MATCH($AE38,'Core Inputs Interface'!$H:$H,0),MATCH($AG38,'Core Inputs Interface'!$17:$17,0)),"")</f>
        <v>702</v>
      </c>
      <c r="AI38" s="55">
        <f t="shared" si="8"/>
        <v>0.01</v>
      </c>
      <c r="AJ38" s="55">
        <f t="shared" si="1"/>
        <v>0.13840817436677436</v>
      </c>
      <c r="AK38" s="55">
        <f t="shared" si="2"/>
        <v>0.6</v>
      </c>
      <c r="AL38" s="55">
        <f t="shared" ca="1" si="9"/>
        <v>0.25</v>
      </c>
      <c r="AM38" s="65">
        <f t="shared" ca="1" si="3"/>
        <v>0.1457438076082134</v>
      </c>
      <c r="AN38" s="66">
        <f t="shared" ca="1" si="4"/>
        <v>7.0200000000000005</v>
      </c>
      <c r="AO38" s="56">
        <f t="shared" ca="1" si="10"/>
        <v>2.0761226155016153E-2</v>
      </c>
      <c r="AP38" t="str">
        <f t="shared" si="5"/>
        <v>Residential Building - high density_46447</v>
      </c>
      <c r="AQ38" t="str">
        <f t="shared" si="6"/>
        <v>Wood_46447</v>
      </c>
      <c r="AS38" s="281"/>
      <c r="AT38" t="str">
        <f ca="1"/>
        <v>Interior</v>
      </c>
      <c r="AU38" s="68">
        <f t="shared" ca="1" si="19"/>
        <v>16.429953656958126</v>
      </c>
      <c r="AV38" s="68">
        <f t="shared" ca="1" si="19"/>
        <v>17.445829893433256</v>
      </c>
      <c r="AW38" s="68">
        <f t="shared" ca="1" si="20"/>
        <v>33.875783550391382</v>
      </c>
      <c r="DO38" s="281"/>
      <c r="DP38">
        <f ca="1"/>
        <v>13</v>
      </c>
      <c r="DQ38" t="str">
        <f ca="1"/>
        <v>Bitumen</v>
      </c>
      <c r="DR38" s="73">
        <f ca="1"/>
        <v>2673.8100000000004</v>
      </c>
      <c r="DS38" s="74">
        <f ca="1"/>
        <v>0.25</v>
      </c>
      <c r="DT38" s="74">
        <f ca="1"/>
        <v>0.25</v>
      </c>
      <c r="DV38" t="str">
        <f ca="1"/>
        <v>Electrical equipment</v>
      </c>
      <c r="DW38" s="68">
        <f ca="1"/>
        <v>773.08999999999992</v>
      </c>
      <c r="DX38" s="74">
        <f ca="1"/>
        <v>0.25</v>
      </c>
      <c r="EG38" s="281"/>
      <c r="EI38" s="85"/>
      <c r="EJ38" s="80"/>
      <c r="EK38" s="86"/>
      <c r="EL38" s="81"/>
      <c r="EM38" s="81"/>
      <c r="EN38" s="81"/>
      <c r="EO38" s="81"/>
      <c r="EP38" s="82"/>
      <c r="EQ38" s="87"/>
      <c r="ER38" s="88"/>
      <c r="EZ38" s="74"/>
      <c r="FA38" s="74"/>
      <c r="FB38" s="74"/>
      <c r="FC38" s="74"/>
      <c r="FD38" s="74"/>
      <c r="FE38" s="74"/>
      <c r="FF38" s="74"/>
      <c r="FG38" s="74"/>
      <c r="FH38" s="74"/>
      <c r="FI38" s="74"/>
      <c r="FJ38" s="74"/>
      <c r="FL38" s="281"/>
      <c r="FW38" s="281"/>
      <c r="GC38" s="281"/>
      <c r="GF38" s="129"/>
      <c r="GG38" s="129"/>
      <c r="GH38" s="128"/>
      <c r="GI38" s="128"/>
      <c r="GJ38" s="81"/>
      <c r="GK38" s="81"/>
      <c r="GL38" s="81"/>
      <c r="GM38" s="81"/>
      <c r="GN38" s="81"/>
      <c r="GO38" s="81"/>
      <c r="GP38" s="87"/>
      <c r="GQ38" s="87"/>
      <c r="GR38" s="88"/>
      <c r="GS38" s="88"/>
      <c r="GX38" s="17"/>
      <c r="GZ38" s="281"/>
      <c r="HB38" s="122"/>
      <c r="HC38" s="74"/>
      <c r="HD38" s="74"/>
      <c r="HE38" s="203"/>
      <c r="HF38" s="203"/>
      <c r="HG38" s="203"/>
      <c r="HH38" s="203"/>
      <c r="HI38" s="203"/>
      <c r="HJ38" s="203"/>
      <c r="HK38" s="174"/>
      <c r="HL38" s="175"/>
      <c r="HN38" s="281"/>
      <c r="HP38" s="17"/>
      <c r="HY38" s="281"/>
    </row>
    <row r="39" spans="3:233" ht="15.6" thickTop="1" thickBot="1">
      <c r="C39" s="281"/>
      <c r="AC39" s="281"/>
      <c r="AE39" s="59" t="str">
        <f t="shared" si="14"/>
        <v>Residential Building - high density</v>
      </c>
      <c r="AF39" s="59" t="str">
        <f t="shared" si="22"/>
        <v>Electrical wire</v>
      </c>
      <c r="AG39" s="60">
        <f t="shared" si="23"/>
        <v>46447</v>
      </c>
      <c r="AH39" s="79">
        <f ca="1">IFERROR(INDEX('Core Inputs Interface'!$1:$1048576,MATCH($AE39,'Core Inputs Interface'!$H:$H,0),MATCH($AG39,'Core Inputs Interface'!$17:$17,0)),"")</f>
        <v>702</v>
      </c>
      <c r="AI39" s="55">
        <f t="shared" si="8"/>
        <v>0.02</v>
      </c>
      <c r="AJ39" s="55">
        <f t="shared" si="1"/>
        <v>0.80654510583379313</v>
      </c>
      <c r="AK39" s="55">
        <f t="shared" si="2"/>
        <v>0.6</v>
      </c>
      <c r="AL39" s="55">
        <f t="shared" ca="1" si="9"/>
        <v>0.25</v>
      </c>
      <c r="AM39" s="65">
        <f t="shared" ca="1" si="3"/>
        <v>1.6985839928859683</v>
      </c>
      <c r="AN39" s="66">
        <f t="shared" ca="1" si="4"/>
        <v>14.040000000000001</v>
      </c>
      <c r="AO39" s="56">
        <f t="shared" ca="1" si="10"/>
        <v>0.12098176587506895</v>
      </c>
      <c r="AP39" t="str">
        <f t="shared" si="5"/>
        <v>Residential Building - high density_46447</v>
      </c>
      <c r="AQ39" t="str">
        <f t="shared" si="6"/>
        <v>Electrical wire_46447</v>
      </c>
      <c r="AS39" s="281"/>
      <c r="AT39" t="str">
        <f ca="1"/>
        <v>Bitumen</v>
      </c>
      <c r="AU39" s="68">
        <f t="shared" ca="1" si="19"/>
        <v>29.305574749720805</v>
      </c>
      <c r="AV39" s="68">
        <f t="shared" ca="1" si="19"/>
        <v>30.798620496522361</v>
      </c>
      <c r="AW39" s="68">
        <f t="shared" ca="1" si="20"/>
        <v>60.104195246243165</v>
      </c>
      <c r="DO39" s="281"/>
      <c r="DP39">
        <f ca="1"/>
        <v>14</v>
      </c>
      <c r="DQ39" t="str">
        <f ca="1"/>
        <v>Polyethylene pipes</v>
      </c>
      <c r="DR39" s="73">
        <f ca="1"/>
        <v>752.6099999999999</v>
      </c>
      <c r="DS39" s="74">
        <f ca="1"/>
        <v>0.25</v>
      </c>
      <c r="DT39" s="74">
        <f ca="1"/>
        <v>0.25</v>
      </c>
      <c r="DV39" t="str">
        <f ca="1"/>
        <v>Polyethylene pipes</v>
      </c>
      <c r="DW39" s="68">
        <f ca="1"/>
        <v>752.6099999999999</v>
      </c>
      <c r="DX39" s="74">
        <f ca="1"/>
        <v>0.25</v>
      </c>
      <c r="EG39" s="281"/>
      <c r="EI39" s="85"/>
      <c r="EJ39" s="80"/>
      <c r="EK39" s="86"/>
      <c r="EL39" s="81"/>
      <c r="EM39" s="81"/>
      <c r="EN39" s="81"/>
      <c r="EO39" s="81"/>
      <c r="EP39" s="82"/>
      <c r="EQ39" s="87"/>
      <c r="ER39" s="88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L39" s="281"/>
      <c r="FW39" s="281"/>
      <c r="GC39" s="281"/>
      <c r="GF39" s="129"/>
      <c r="GG39" s="129"/>
      <c r="GH39" s="128"/>
      <c r="GI39" s="128"/>
      <c r="GJ39" s="81"/>
      <c r="GK39" s="81"/>
      <c r="GL39" s="81"/>
      <c r="GM39" s="81"/>
      <c r="GN39" s="81"/>
      <c r="GO39" s="81"/>
      <c r="GP39" s="87"/>
      <c r="GQ39" s="87"/>
      <c r="GR39" s="88"/>
      <c r="GS39" s="88"/>
      <c r="GX39" s="17"/>
      <c r="GZ39" s="281"/>
      <c r="HB39" s="122"/>
      <c r="HC39" s="74"/>
      <c r="HD39" s="74"/>
      <c r="HE39" s="203"/>
      <c r="HF39" s="203"/>
      <c r="HG39" s="203"/>
      <c r="HH39" s="203"/>
      <c r="HI39" s="203"/>
      <c r="HJ39" s="203"/>
      <c r="HK39" s="174"/>
      <c r="HL39" s="175"/>
      <c r="HN39" s="281"/>
      <c r="HP39" s="17"/>
      <c r="HY39" s="281"/>
    </row>
    <row r="40" spans="3:233" ht="15.6" thickTop="1" thickBot="1">
      <c r="C40" s="281"/>
      <c r="AC40" s="281"/>
      <c r="AE40" s="59" t="str">
        <f t="shared" si="14"/>
        <v>Residential Building - high density</v>
      </c>
      <c r="AF40" s="59" t="str">
        <f t="shared" si="22"/>
        <v>Glass</v>
      </c>
      <c r="AG40" s="60">
        <f t="shared" si="23"/>
        <v>46447</v>
      </c>
      <c r="AH40" s="79">
        <f ca="1">IFERROR(INDEX('Core Inputs Interface'!$1:$1048576,MATCH($AE40,'Core Inputs Interface'!$H:$H,0),MATCH($AG40,'Core Inputs Interface'!$17:$17,0)),"")</f>
        <v>702</v>
      </c>
      <c r="AI40" s="55">
        <f t="shared" si="8"/>
        <v>0.04</v>
      </c>
      <c r="AJ40" s="55">
        <f t="shared" si="1"/>
        <v>0.24210307145623419</v>
      </c>
      <c r="AK40" s="55">
        <f t="shared" si="2"/>
        <v>0.6</v>
      </c>
      <c r="AL40" s="55">
        <f t="shared" ca="1" si="9"/>
        <v>0.25</v>
      </c>
      <c r="AM40" s="65">
        <f t="shared" ca="1" si="3"/>
        <v>1.0197381369736584</v>
      </c>
      <c r="AN40" s="66">
        <f t="shared" ca="1" si="4"/>
        <v>28.080000000000002</v>
      </c>
      <c r="AO40" s="56">
        <f t="shared" ca="1" si="10"/>
        <v>3.6315460718435125E-2</v>
      </c>
      <c r="AP40" t="str">
        <f t="shared" si="5"/>
        <v>Residential Building - high density_46447</v>
      </c>
      <c r="AQ40" t="str">
        <f t="shared" si="6"/>
        <v>Glass_46447</v>
      </c>
      <c r="AS40" s="281"/>
      <c r="AT40" t="str">
        <f ca="1"/>
        <v>Polyethylene pipes</v>
      </c>
      <c r="AU40" s="68">
        <f t="shared" ca="1" si="19"/>
        <v>7.0588381337183499</v>
      </c>
      <c r="AV40" s="68">
        <f t="shared" ca="1" si="19"/>
        <v>7.4232918915457802</v>
      </c>
      <c r="AW40" s="68">
        <f t="shared" ca="1" si="20"/>
        <v>14.48213002526413</v>
      </c>
      <c r="DO40" s="281"/>
      <c r="DP40">
        <f ca="1"/>
        <v>15</v>
      </c>
      <c r="DQ40" t="str">
        <f ca="1"/>
        <v>Plant and equipment</v>
      </c>
      <c r="DR40" s="73">
        <f ca="1"/>
        <v>4445.2250000000004</v>
      </c>
      <c r="DS40" s="74">
        <f ca="1"/>
        <v>0.25</v>
      </c>
      <c r="DT40" s="74">
        <f ca="1"/>
        <v>0.25</v>
      </c>
      <c r="DV40" t="str">
        <f ca="1"/>
        <v>Water equipment</v>
      </c>
      <c r="DW40" s="68">
        <f ca="1"/>
        <v>678.65000000000009</v>
      </c>
      <c r="DX40" s="74">
        <f ca="1"/>
        <v>0.25</v>
      </c>
      <c r="EG40" s="281"/>
      <c r="EI40" s="85"/>
      <c r="EJ40" s="80"/>
      <c r="EK40" s="86"/>
      <c r="EL40" s="81"/>
      <c r="EM40" s="81"/>
      <c r="EN40" s="81"/>
      <c r="EO40" s="81"/>
      <c r="EP40" s="82"/>
      <c r="EQ40" s="87"/>
      <c r="ER40" s="88"/>
      <c r="EZ40" s="74"/>
      <c r="FA40" s="74"/>
      <c r="FB40" s="74"/>
      <c r="FC40" s="74"/>
      <c r="FD40" s="74"/>
      <c r="FE40" s="74"/>
      <c r="FF40" s="74"/>
      <c r="FG40" s="74"/>
      <c r="FH40" s="74"/>
      <c r="FI40" s="74"/>
      <c r="FJ40" s="74"/>
      <c r="FL40" s="281"/>
      <c r="FW40" s="281"/>
      <c r="GC40" s="281"/>
      <c r="GF40" s="129"/>
      <c r="GG40" s="129"/>
      <c r="GH40" s="128"/>
      <c r="GI40" s="128"/>
      <c r="GJ40" s="81"/>
      <c r="GK40" s="81"/>
      <c r="GL40" s="81"/>
      <c r="GM40" s="81"/>
      <c r="GN40" s="81"/>
      <c r="GO40" s="81"/>
      <c r="GP40" s="87"/>
      <c r="GQ40" s="87"/>
      <c r="GR40" s="88"/>
      <c r="GS40" s="88"/>
      <c r="GX40" s="17"/>
      <c r="GZ40" s="281"/>
      <c r="HB40" s="122"/>
      <c r="HC40" s="74"/>
      <c r="HD40" s="74"/>
      <c r="HE40" s="203"/>
      <c r="HF40" s="203"/>
      <c r="HG40" s="203"/>
      <c r="HH40" s="203"/>
      <c r="HI40" s="203"/>
      <c r="HJ40" s="203"/>
      <c r="HK40" s="174"/>
      <c r="HL40" s="175"/>
      <c r="HN40" s="281"/>
      <c r="HP40" s="17"/>
      <c r="HY40" s="281"/>
    </row>
    <row r="41" spans="3:233" ht="15.6" thickTop="1" thickBot="1">
      <c r="C41" s="281"/>
      <c r="AC41" s="281"/>
      <c r="AE41" s="59" t="str">
        <f t="shared" si="14"/>
        <v>Residential Building - high density</v>
      </c>
      <c r="AF41" s="59" t="str">
        <f t="shared" si="22"/>
        <v>Roofing</v>
      </c>
      <c r="AG41" s="60">
        <f t="shared" si="23"/>
        <v>46447</v>
      </c>
      <c r="AH41" s="79">
        <f ca="1">IFERROR(INDEX('Core Inputs Interface'!$1:$1048576,MATCH($AE41,'Core Inputs Interface'!$H:$H,0),MATCH($AG41,'Core Inputs Interface'!$17:$17,0)),"")</f>
        <v>702</v>
      </c>
      <c r="AI41" s="55">
        <f t="shared" si="8"/>
        <v>8.5000000000000006E-2</v>
      </c>
      <c r="AJ41" s="55">
        <f t="shared" si="1"/>
        <v>2.4772729573316262E-4</v>
      </c>
      <c r="AK41" s="55">
        <f t="shared" si="2"/>
        <v>0.6</v>
      </c>
      <c r="AL41" s="55">
        <f t="shared" ca="1" si="9"/>
        <v>0.25</v>
      </c>
      <c r="AM41" s="65">
        <f t="shared" ca="1" si="3"/>
        <v>2.217283160459672E-3</v>
      </c>
      <c r="AN41" s="66">
        <f t="shared" ca="1" si="4"/>
        <v>59.67</v>
      </c>
      <c r="AO41" s="56">
        <f t="shared" ca="1" si="10"/>
        <v>3.7159094359974391E-5</v>
      </c>
      <c r="AP41" t="str">
        <f t="shared" ref="AP41:AP77" si="24">_xlfn.TEXTJOIN("_",,$AE41,$AG41)</f>
        <v>Residential Building - high density_46447</v>
      </c>
      <c r="AQ41" t="str">
        <f t="shared" ref="AQ41:AQ77" si="25">_xlfn.TEXTJOIN("_",,$AF41,$AG41)</f>
        <v>Roofing_46447</v>
      </c>
      <c r="AS41" s="281"/>
      <c r="AT41" t="str">
        <f ca="1"/>
        <v>Plant and equipment</v>
      </c>
      <c r="AU41" s="68">
        <f t="shared" ca="1" si="19"/>
        <v>137.45186617761667</v>
      </c>
      <c r="AV41" s="68">
        <f t="shared" ca="1" si="19"/>
        <v>143.01067413772742</v>
      </c>
      <c r="AW41" s="68">
        <f t="shared" ca="1" si="20"/>
        <v>280.46254031534409</v>
      </c>
      <c r="DO41" s="281"/>
      <c r="DP41">
        <f ca="1"/>
        <v>16</v>
      </c>
      <c r="DQ41" t="str">
        <f ca="1"/>
        <v>Electrical equipment</v>
      </c>
      <c r="DR41" s="73">
        <f ca="1"/>
        <v>773.08999999999992</v>
      </c>
      <c r="DS41" s="74">
        <f ca="1"/>
        <v>0.25</v>
      </c>
      <c r="DT41" s="74">
        <f ca="1"/>
        <v>0.25</v>
      </c>
      <c r="DV41" t="str">
        <f ca="1"/>
        <v>Glass</v>
      </c>
      <c r="DW41" s="68">
        <f ca="1"/>
        <v>520.15</v>
      </c>
      <c r="DX41" s="74">
        <f ca="1"/>
        <v>0.25</v>
      </c>
      <c r="EG41" s="281"/>
      <c r="EI41" s="85"/>
      <c r="EJ41" s="80"/>
      <c r="EK41" s="86"/>
      <c r="EL41" s="81"/>
      <c r="EM41" s="81"/>
      <c r="EN41" s="81"/>
      <c r="EO41" s="81"/>
      <c r="EP41" s="82"/>
      <c r="EQ41" s="87"/>
      <c r="ER41" s="88"/>
      <c r="ES41" s="88"/>
      <c r="EZ41" s="74"/>
      <c r="FA41" s="74"/>
      <c r="FB41" s="74"/>
      <c r="FC41" s="74"/>
      <c r="FD41" s="74"/>
      <c r="FE41" s="74"/>
      <c r="FF41" s="74"/>
      <c r="FG41" s="74"/>
      <c r="FH41" s="74"/>
      <c r="FI41" s="74"/>
      <c r="FJ41" s="74"/>
      <c r="FL41" s="281"/>
      <c r="FW41" s="281"/>
      <c r="GC41" s="281"/>
      <c r="GF41" s="129"/>
      <c r="GG41" s="129"/>
      <c r="GH41" s="128"/>
      <c r="GI41" s="128"/>
      <c r="GJ41" s="81"/>
      <c r="GK41" s="81"/>
      <c r="GL41" s="81"/>
      <c r="GM41" s="81"/>
      <c r="GN41" s="81"/>
      <c r="GO41" s="81"/>
      <c r="GP41" s="87"/>
      <c r="GQ41" s="87"/>
      <c r="GR41" s="88"/>
      <c r="GS41" s="88"/>
      <c r="GT41" s="88"/>
      <c r="GU41" s="88"/>
      <c r="GX41" s="17"/>
      <c r="GZ41" s="281"/>
      <c r="HB41" s="122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N41" s="281"/>
      <c r="HP41" s="17"/>
      <c r="HY41" s="281"/>
    </row>
    <row r="42" spans="3:233" ht="15.6" thickTop="1" thickBot="1">
      <c r="C42" s="281"/>
      <c r="AC42" s="281"/>
      <c r="AE42" s="59" t="str">
        <f t="shared" si="14"/>
        <v>Residential Building - high density</v>
      </c>
      <c r="AF42" s="59" t="str">
        <f t="shared" si="22"/>
        <v>Interior</v>
      </c>
      <c r="AG42" s="60">
        <f t="shared" si="23"/>
        <v>46447</v>
      </c>
      <c r="AH42" s="79">
        <f ca="1">IFERROR(INDEX('Core Inputs Interface'!$1:$1048576,MATCH($AE42,'Core Inputs Interface'!$H:$H,0),MATCH($AG42,'Core Inputs Interface'!$17:$17,0)),"")</f>
        <v>702</v>
      </c>
      <c r="AI42" s="55">
        <f t="shared" si="8"/>
        <v>0.05</v>
      </c>
      <c r="AJ42" s="55">
        <f t="shared" si="1"/>
        <v>0.54050345117059384</v>
      </c>
      <c r="AK42" s="55">
        <f t="shared" si="2"/>
        <v>0.6</v>
      </c>
      <c r="AL42" s="55">
        <f t="shared" ca="1" si="9"/>
        <v>0.25</v>
      </c>
      <c r="AM42" s="65">
        <f t="shared" ca="1" si="3"/>
        <v>2.8457506704131768</v>
      </c>
      <c r="AN42" s="66">
        <f t="shared" ca="1" si="4"/>
        <v>35.1</v>
      </c>
      <c r="AO42" s="56">
        <f t="shared" ca="1" si="10"/>
        <v>8.1075517675589084E-2</v>
      </c>
      <c r="AP42" t="str">
        <f t="shared" si="24"/>
        <v>Residential Building - high density_46447</v>
      </c>
      <c r="AQ42" t="str">
        <f t="shared" si="25"/>
        <v>Interior_46447</v>
      </c>
      <c r="AS42" s="281"/>
      <c r="AT42" t="str">
        <f ca="1"/>
        <v>Electrical equipment</v>
      </c>
      <c r="AU42" s="68">
        <f t="shared" ca="1" si="19"/>
        <v>37.276972981637812</v>
      </c>
      <c r="AV42" s="68">
        <f t="shared" ca="1" si="19"/>
        <v>37.8004141288855</v>
      </c>
      <c r="AW42" s="68">
        <f t="shared" ca="1" si="20"/>
        <v>75.077387110523318</v>
      </c>
      <c r="AZ42" s="147" t="s">
        <v>62</v>
      </c>
      <c r="BA42" s="149" t="str" cm="1">
        <f t="array" aca="1" ref="BA42:CT42" ca="1">_xlfn.HSTACK(TRANSPOSE(_xlfn.SORTBY($AT$27:$AT$71,$AU$27:$AU$71,-1)),$AT$72)</f>
        <v>Plant and equipment</v>
      </c>
      <c r="BB42" s="149" t="str">
        <f ca="1"/>
        <v>Vehicles</v>
      </c>
      <c r="BC42" s="149" t="str">
        <f ca="1"/>
        <v>Structural steel</v>
      </c>
      <c r="BD42" s="149" t="str">
        <f ca="1"/>
        <v>Electrical wire</v>
      </c>
      <c r="BE42" s="149" t="str">
        <f ca="1"/>
        <v>Diesel</v>
      </c>
      <c r="BF42" s="149" t="str">
        <f ca="1"/>
        <v>Electrical equipment</v>
      </c>
      <c r="BG42" s="149" t="str">
        <f ca="1"/>
        <v>Water equipment</v>
      </c>
      <c r="BH42" s="149" t="str">
        <f ca="1"/>
        <v>Bitumen</v>
      </c>
      <c r="BI42" s="149" t="str">
        <f ca="1"/>
        <v>Interior</v>
      </c>
      <c r="BJ42" s="149" t="str">
        <f ca="1"/>
        <v>Firetrucks</v>
      </c>
      <c r="BK42" s="149" t="str">
        <f ca="1"/>
        <v>Glass</v>
      </c>
      <c r="BL42" s="149" t="str">
        <f ca="1"/>
        <v>Road equipment</v>
      </c>
      <c r="BM42" s="149" t="str">
        <f ca="1"/>
        <v>Reinforcing bar</v>
      </c>
      <c r="BN42" s="149" t="str">
        <f ca="1"/>
        <v>Polyethylene pipes</v>
      </c>
      <c r="BO42" s="149" t="str">
        <f ca="1"/>
        <v>Quarry Material</v>
      </c>
      <c r="BP42" s="149" t="str">
        <f ca="1"/>
        <v>Concrete</v>
      </c>
      <c r="BQ42" s="149" t="str">
        <f ca="1"/>
        <v>Wood</v>
      </c>
      <c r="BR42" s="149" t="str">
        <f ca="1"/>
        <v>Masonry</v>
      </c>
      <c r="BS42" s="149" t="str">
        <f ca="1"/>
        <v>Roofing</v>
      </c>
      <c r="BT42" s="149" t="str">
        <f ca="1"/>
        <v>Labour</v>
      </c>
      <c r="BU42" s="149" t="str">
        <f ca="1"/>
        <v>Engineering design</v>
      </c>
      <c r="BV42" s="149" t="str">
        <f ca="1"/>
        <v>Machinery &amp; Equipment</v>
      </c>
      <c r="BW42" s="149" t="str">
        <f ca="1"/>
        <v>Office Equipment &amp; IT</v>
      </c>
      <c r="BX42" s="149">
        <f ca="1"/>
        <v>0</v>
      </c>
      <c r="BY42" s="149">
        <f ca="1"/>
        <v>0</v>
      </c>
      <c r="BZ42" s="149">
        <f ca="1"/>
        <v>0</v>
      </c>
      <c r="CA42" s="149">
        <f ca="1"/>
        <v>0</v>
      </c>
      <c r="CB42" s="149">
        <f ca="1"/>
        <v>0</v>
      </c>
      <c r="CC42" s="149">
        <f ca="1"/>
        <v>0</v>
      </c>
      <c r="CD42" s="149">
        <f ca="1"/>
        <v>0</v>
      </c>
      <c r="CE42" s="149">
        <f ca="1"/>
        <v>0</v>
      </c>
      <c r="CF42" s="149">
        <f ca="1"/>
        <v>0</v>
      </c>
      <c r="CG42" s="149">
        <f ca="1"/>
        <v>0</v>
      </c>
      <c r="CH42" s="149">
        <f ca="1"/>
        <v>0</v>
      </c>
      <c r="CI42" s="149">
        <f ca="1"/>
        <v>0</v>
      </c>
      <c r="CJ42" s="149">
        <f ca="1"/>
        <v>0</v>
      </c>
      <c r="CK42" s="149">
        <f ca="1"/>
        <v>0</v>
      </c>
      <c r="CL42" s="149">
        <f ca="1"/>
        <v>0</v>
      </c>
      <c r="CM42" s="149">
        <f ca="1"/>
        <v>0</v>
      </c>
      <c r="CN42" s="149">
        <f ca="1"/>
        <v>0</v>
      </c>
      <c r="CO42" s="149">
        <f ca="1"/>
        <v>0</v>
      </c>
      <c r="CP42" s="149">
        <f ca="1"/>
        <v>0</v>
      </c>
      <c r="CQ42" s="149">
        <f ca="1"/>
        <v>0</v>
      </c>
      <c r="CR42" s="149">
        <f ca="1"/>
        <v>0</v>
      </c>
      <c r="CS42" s="149">
        <f ca="1"/>
        <v>0</v>
      </c>
      <c r="CT42" s="149" t="str">
        <f ca="1"/>
        <v>Total</v>
      </c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9"/>
      <c r="DF42" s="149"/>
      <c r="DG42" s="149"/>
      <c r="DH42" s="149"/>
      <c r="DI42" s="149"/>
      <c r="DJ42" s="149"/>
      <c r="DK42" s="149"/>
      <c r="DL42" s="149"/>
      <c r="DM42" s="149"/>
      <c r="DO42" s="281"/>
      <c r="DP42">
        <f ca="1"/>
        <v>17</v>
      </c>
      <c r="DQ42" t="str">
        <f ca="1"/>
        <v>Road equipment</v>
      </c>
      <c r="DR42" s="73">
        <f ca="1"/>
        <v>396.12</v>
      </c>
      <c r="DS42" s="74">
        <f ca="1"/>
        <v>0.25</v>
      </c>
      <c r="DT42" s="74">
        <f ca="1"/>
        <v>0.25</v>
      </c>
      <c r="DV42" t="str">
        <f ca="1"/>
        <v>Interior</v>
      </c>
      <c r="DW42" s="68">
        <f ca="1"/>
        <v>417.83000000000004</v>
      </c>
      <c r="DX42" s="74">
        <f ca="1"/>
        <v>0.25</v>
      </c>
      <c r="EG42" s="281"/>
      <c r="EI42" s="85"/>
      <c r="EJ42" s="80"/>
      <c r="EK42" s="86"/>
      <c r="EL42" s="81"/>
      <c r="EM42" s="81"/>
      <c r="EN42" s="81"/>
      <c r="EO42" s="81"/>
      <c r="EP42" s="82"/>
      <c r="EQ42" s="87"/>
      <c r="ER42" s="88"/>
      <c r="ES42" s="88"/>
      <c r="EZ42" s="74"/>
      <c r="FA42" s="74"/>
      <c r="FB42" s="74"/>
      <c r="FC42" s="74"/>
      <c r="FD42" s="74"/>
      <c r="FE42" s="74"/>
      <c r="FF42" s="74"/>
      <c r="FG42" s="74"/>
      <c r="FH42" s="74"/>
      <c r="FI42" s="74"/>
      <c r="FJ42" s="74"/>
      <c r="FL42" s="281"/>
      <c r="FW42" s="281"/>
      <c r="GC42" s="281"/>
      <c r="GF42" s="129"/>
      <c r="GG42" s="129"/>
      <c r="GH42" s="128"/>
      <c r="GI42" s="128"/>
      <c r="GJ42" s="81"/>
      <c r="GK42" s="81"/>
      <c r="GL42" s="81"/>
      <c r="GM42" s="81"/>
      <c r="GN42" s="81"/>
      <c r="GO42" s="81"/>
      <c r="GP42" s="87"/>
      <c r="GQ42" s="87"/>
      <c r="GR42" s="88"/>
      <c r="GS42" s="88"/>
      <c r="GT42" s="88"/>
      <c r="GU42" s="88"/>
      <c r="GX42" s="17"/>
      <c r="GZ42" s="281"/>
      <c r="HB42" s="122"/>
      <c r="HC42" s="74"/>
      <c r="HD42" s="74"/>
      <c r="HE42" s="74"/>
      <c r="HF42" s="74"/>
      <c r="HG42" s="74"/>
      <c r="HH42" s="74"/>
      <c r="HI42" s="74"/>
      <c r="HJ42" s="74"/>
      <c r="HK42" s="74"/>
      <c r="HL42" s="74"/>
      <c r="HN42" s="281"/>
      <c r="HP42" s="17"/>
      <c r="HY42" s="281"/>
    </row>
    <row r="43" spans="3:233" ht="15.6" thickTop="1" thickBot="1">
      <c r="C43" s="281"/>
      <c r="AC43" s="281"/>
      <c r="AE43" s="59" t="str">
        <f t="shared" si="14"/>
        <v>Residential Building - high density</v>
      </c>
      <c r="AF43" s="59" t="str">
        <f t="shared" si="22"/>
        <v>Bitumen</v>
      </c>
      <c r="AG43" s="60">
        <f t="shared" si="23"/>
        <v>46447</v>
      </c>
      <c r="AH43" s="79">
        <f ca="1">IFERROR(INDEX('Core Inputs Interface'!$1:$1048576,MATCH($AE43,'Core Inputs Interface'!$H:$H,0),MATCH($AG43,'Core Inputs Interface'!$17:$17,0)),"")</f>
        <v>702</v>
      </c>
      <c r="AI43" s="55">
        <f t="shared" si="8"/>
        <v>0</v>
      </c>
      <c r="AJ43" s="55">
        <f t="shared" si="1"/>
        <v>0.14985905317691026</v>
      </c>
      <c r="AK43" s="55">
        <f t="shared" si="2"/>
        <v>0.6</v>
      </c>
      <c r="AL43" s="55">
        <f t="shared" ca="1" si="9"/>
        <v>0.25</v>
      </c>
      <c r="AM43" s="65">
        <f t="shared" ca="1" si="3"/>
        <v>0</v>
      </c>
      <c r="AN43" s="66">
        <f t="shared" ca="1" si="4"/>
        <v>0</v>
      </c>
      <c r="AO43" s="56">
        <f t="shared" ca="1" si="10"/>
        <v>0</v>
      </c>
      <c r="AP43" t="str">
        <f t="shared" si="24"/>
        <v>Residential Building - high density_46447</v>
      </c>
      <c r="AQ43" t="str">
        <f t="shared" si="25"/>
        <v>Bitumen_46447</v>
      </c>
      <c r="AS43" s="281"/>
      <c r="AT43" t="str">
        <f ca="1"/>
        <v>Road equipment</v>
      </c>
      <c r="AU43" s="68">
        <f t="shared" ca="1" si="19"/>
        <v>9.0545144783786036</v>
      </c>
      <c r="AV43" s="68">
        <f t="shared" ca="1" si="19"/>
        <v>9.5158193477337107</v>
      </c>
      <c r="AW43" s="68">
        <f t="shared" ca="1" si="20"/>
        <v>18.570333826112314</v>
      </c>
      <c r="AZ43" s="148" t="s">
        <v>101</v>
      </c>
      <c r="BA43" s="68" cm="1">
        <f t="array" aca="1" ref="BA43:CT43" ca="1">_xlfn.HSTACK(TRANSPOSE(_xlfn.SORTBY($AU$27:$AU$71,$AU$27:$AU$71,-1)),SUM(AU27:AU71))</f>
        <v>137.45186617761667</v>
      </c>
      <c r="BB43" s="68">
        <f ca="1"/>
        <v>68.605997078039351</v>
      </c>
      <c r="BC43" s="68">
        <f ca="1"/>
        <v>61.679179814352814</v>
      </c>
      <c r="BD43" s="68">
        <f ca="1"/>
        <v>54.291777254095962</v>
      </c>
      <c r="BE43" s="68">
        <f ca="1"/>
        <v>39.067288019765911</v>
      </c>
      <c r="BF43" s="68">
        <f ca="1"/>
        <v>37.276972981637812</v>
      </c>
      <c r="BG43" s="68">
        <f ca="1"/>
        <v>35.34558357678717</v>
      </c>
      <c r="BH43" s="68">
        <f ca="1"/>
        <v>29.305574749720805</v>
      </c>
      <c r="BI43" s="68">
        <f ca="1"/>
        <v>16.429953656958126</v>
      </c>
      <c r="BJ43" s="68">
        <f ca="1"/>
        <v>11.040000000000001</v>
      </c>
      <c r="BK43" s="68">
        <f ca="1"/>
        <v>9.1761906143341889</v>
      </c>
      <c r="BL43" s="68">
        <f ca="1"/>
        <v>9.0545144783786036</v>
      </c>
      <c r="BM43" s="68">
        <f ca="1"/>
        <v>9.0497073472165734</v>
      </c>
      <c r="BN43" s="68">
        <f ca="1"/>
        <v>7.0588381337183499</v>
      </c>
      <c r="BO43" s="68">
        <f ca="1"/>
        <v>5.2729590150098256</v>
      </c>
      <c r="BP43" s="68">
        <f ca="1"/>
        <v>3.2820254029385283</v>
      </c>
      <c r="BQ43" s="68">
        <f ca="1"/>
        <v>2.4105859688589253</v>
      </c>
      <c r="BR43" s="68">
        <f ca="1"/>
        <v>1.7635736343917616</v>
      </c>
      <c r="BS43" s="68">
        <f ca="1"/>
        <v>1.4657218974820098E-2</v>
      </c>
      <c r="BT43" s="68">
        <f ca="1"/>
        <v>0</v>
      </c>
      <c r="BU43" s="68">
        <f ca="1"/>
        <v>0</v>
      </c>
      <c r="BV43" s="68">
        <f ca="1"/>
        <v>0</v>
      </c>
      <c r="BW43" s="68">
        <f ca="1"/>
        <v>0</v>
      </c>
      <c r="BX43" s="68">
        <f ca="1"/>
        <v>0</v>
      </c>
      <c r="BY43" s="68">
        <f ca="1"/>
        <v>0</v>
      </c>
      <c r="BZ43" s="68">
        <f ca="1"/>
        <v>0</v>
      </c>
      <c r="CA43" s="68">
        <f ca="1"/>
        <v>0</v>
      </c>
      <c r="CB43" s="68">
        <f ca="1"/>
        <v>0</v>
      </c>
      <c r="CC43" s="68">
        <f ca="1"/>
        <v>0</v>
      </c>
      <c r="CD43" s="68">
        <f ca="1"/>
        <v>0</v>
      </c>
      <c r="CE43" s="68">
        <f ca="1"/>
        <v>0</v>
      </c>
      <c r="CF43" s="68">
        <f ca="1"/>
        <v>0</v>
      </c>
      <c r="CG43" s="68">
        <f ca="1"/>
        <v>0</v>
      </c>
      <c r="CH43" s="68">
        <f ca="1"/>
        <v>0</v>
      </c>
      <c r="CI43" s="68">
        <f ca="1"/>
        <v>0</v>
      </c>
      <c r="CJ43" s="68">
        <f ca="1"/>
        <v>0</v>
      </c>
      <c r="CK43" s="68">
        <f ca="1"/>
        <v>0</v>
      </c>
      <c r="CL43" s="68">
        <f ca="1"/>
        <v>0</v>
      </c>
      <c r="CM43" s="68">
        <f ca="1"/>
        <v>0</v>
      </c>
      <c r="CN43" s="68">
        <f ca="1"/>
        <v>0</v>
      </c>
      <c r="CO43" s="68">
        <f ca="1"/>
        <v>0</v>
      </c>
      <c r="CP43" s="68">
        <f ca="1"/>
        <v>0</v>
      </c>
      <c r="CQ43" s="68">
        <f ca="1"/>
        <v>0</v>
      </c>
      <c r="CR43" s="68">
        <f ca="1"/>
        <v>0</v>
      </c>
      <c r="CS43" s="68">
        <f ca="1"/>
        <v>0</v>
      </c>
      <c r="CT43" s="68">
        <f ca="1"/>
        <v>537.57724512279617</v>
      </c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O43" s="281"/>
      <c r="DP43">
        <f ca="1"/>
        <v>18</v>
      </c>
      <c r="DQ43" t="str">
        <f ca="1"/>
        <v>Water equipment</v>
      </c>
      <c r="DR43" s="73">
        <f ca="1"/>
        <v>678.65000000000009</v>
      </c>
      <c r="DS43" s="74">
        <f ca="1"/>
        <v>0.25</v>
      </c>
      <c r="DT43" s="74">
        <f ca="1"/>
        <v>0.25</v>
      </c>
      <c r="DV43" t="str">
        <f ca="1"/>
        <v>Road equipment</v>
      </c>
      <c r="DW43" s="68">
        <f ca="1"/>
        <v>396.12</v>
      </c>
      <c r="DX43" s="74">
        <f ca="1"/>
        <v>0.25</v>
      </c>
      <c r="EG43" s="281"/>
      <c r="EI43" s="85"/>
      <c r="EJ43" s="80"/>
      <c r="EK43" s="86"/>
      <c r="EL43" s="81"/>
      <c r="EM43" s="81"/>
      <c r="EN43" s="81"/>
      <c r="EO43" s="81"/>
      <c r="EP43" s="82"/>
      <c r="EQ43" s="87"/>
      <c r="ER43" s="88"/>
      <c r="ES43" s="88"/>
      <c r="EZ43" s="74"/>
      <c r="FA43" s="74"/>
      <c r="FB43" s="74"/>
      <c r="FC43" s="74"/>
      <c r="FD43" s="74"/>
      <c r="FE43" s="74"/>
      <c r="FF43" s="74"/>
      <c r="FG43" s="74"/>
      <c r="FH43" s="74"/>
      <c r="FI43" s="74"/>
      <c r="FJ43" s="74"/>
      <c r="FL43" s="281"/>
      <c r="FW43" s="281"/>
      <c r="GC43" s="281"/>
      <c r="GF43" s="129"/>
      <c r="GG43" s="129"/>
      <c r="GH43" s="128"/>
      <c r="GI43" s="128"/>
      <c r="GJ43" s="81"/>
      <c r="GK43" s="81"/>
      <c r="GL43" s="81"/>
      <c r="GM43" s="81"/>
      <c r="GN43" s="81"/>
      <c r="GO43" s="81"/>
      <c r="GP43" s="87"/>
      <c r="GQ43" s="87"/>
      <c r="GR43" s="88"/>
      <c r="GS43" s="88"/>
      <c r="GT43" s="88"/>
      <c r="GU43" s="88"/>
      <c r="GX43" s="17"/>
      <c r="GZ43" s="281"/>
      <c r="HB43" s="122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N43" s="281"/>
      <c r="HP43" s="17"/>
      <c r="HY43" s="281"/>
    </row>
    <row r="44" spans="3:233" ht="15.6" thickTop="1" thickBot="1">
      <c r="C44" s="281"/>
      <c r="AC44" s="281"/>
      <c r="AE44" s="59" t="str">
        <f t="shared" si="14"/>
        <v>Residential Building - high density</v>
      </c>
      <c r="AF44" s="59" t="str">
        <f t="shared" si="22"/>
        <v>Polyethylene pipes</v>
      </c>
      <c r="AG44" s="60">
        <f t="shared" si="23"/>
        <v>46447</v>
      </c>
      <c r="AH44" s="79">
        <f ca="1">IFERROR(INDEX('Core Inputs Interface'!$1:$1048576,MATCH($AE44,'Core Inputs Interface'!$H:$H,0),MATCH($AG44,'Core Inputs Interface'!$17:$17,0)),"")</f>
        <v>702</v>
      </c>
      <c r="AI44" s="55">
        <f t="shared" si="8"/>
        <v>5.0000000000000001E-3</v>
      </c>
      <c r="AJ44" s="55">
        <f t="shared" si="1"/>
        <v>0.12828361767948987</v>
      </c>
      <c r="AK44" s="55">
        <f t="shared" si="2"/>
        <v>0.6</v>
      </c>
      <c r="AL44" s="55">
        <f t="shared" ca="1" si="9"/>
        <v>0.25</v>
      </c>
      <c r="AM44" s="65">
        <f t="shared" ca="1" si="3"/>
        <v>6.7541324708251416E-2</v>
      </c>
      <c r="AN44" s="66">
        <f t="shared" ca="1" si="4"/>
        <v>3.5100000000000002</v>
      </c>
      <c r="AO44" s="56">
        <f t="shared" ca="1" si="10"/>
        <v>1.9242542651923478E-2</v>
      </c>
      <c r="AP44" t="str">
        <f t="shared" si="24"/>
        <v>Residential Building - high density_46447</v>
      </c>
      <c r="AQ44" t="str">
        <f t="shared" si="25"/>
        <v>Polyethylene pipes_46447</v>
      </c>
      <c r="AS44" s="281"/>
      <c r="AT44" t="str">
        <f ca="1"/>
        <v>Water equipment</v>
      </c>
      <c r="AU44" s="68">
        <f t="shared" ca="1" si="19"/>
        <v>35.34558357678717</v>
      </c>
      <c r="AV44" s="68">
        <f t="shared" ca="1" si="19"/>
        <v>37.149823502476053</v>
      </c>
      <c r="AW44" s="68">
        <f t="shared" ca="1" si="20"/>
        <v>72.495407079263231</v>
      </c>
      <c r="AZ44" s="148" t="s">
        <v>104</v>
      </c>
      <c r="BA44" s="68" cm="1">
        <f t="array" aca="1" ref="BA44:CT44" ca="1">_xlfn.HSTACK(0,_xlfn.DROP(_xlfn.SCAN(0,_xlfn.ANCHORARRAY(BA43),_xlfn.LAMBDA(_xlpm.a,_xlpm.x,_xlpm.a+_xlpm.x)),,-2),"")</f>
        <v>0</v>
      </c>
      <c r="BB44" s="68">
        <f ca="1"/>
        <v>137.45186617761667</v>
      </c>
      <c r="BC44" s="68">
        <f ca="1"/>
        <v>206.057863255656</v>
      </c>
      <c r="BD44" s="68">
        <f ca="1"/>
        <v>267.73704307000884</v>
      </c>
      <c r="BE44" s="68">
        <f ca="1"/>
        <v>322.0288203241048</v>
      </c>
      <c r="BF44" s="68">
        <f ca="1"/>
        <v>361.0961083438707</v>
      </c>
      <c r="BG44" s="68">
        <f ca="1"/>
        <v>398.37308132550851</v>
      </c>
      <c r="BH44" s="68">
        <f ca="1"/>
        <v>433.7186649022957</v>
      </c>
      <c r="BI44" s="68">
        <f ca="1"/>
        <v>463.02423965201649</v>
      </c>
      <c r="BJ44" s="68">
        <f ca="1"/>
        <v>479.4541933089746</v>
      </c>
      <c r="BK44" s="68">
        <f ca="1"/>
        <v>490.49419330897462</v>
      </c>
      <c r="BL44" s="68">
        <f ca="1"/>
        <v>499.6703839233088</v>
      </c>
      <c r="BM44" s="68">
        <f ca="1"/>
        <v>508.72489840168743</v>
      </c>
      <c r="BN44" s="68">
        <f ca="1"/>
        <v>517.77460574890404</v>
      </c>
      <c r="BO44" s="68">
        <f ca="1"/>
        <v>524.83344388262242</v>
      </c>
      <c r="BP44" s="68">
        <f ca="1"/>
        <v>530.10640289763228</v>
      </c>
      <c r="BQ44" s="68">
        <f ca="1"/>
        <v>533.38842830057081</v>
      </c>
      <c r="BR44" s="68">
        <f ca="1"/>
        <v>535.79901426942979</v>
      </c>
      <c r="BS44" s="68">
        <f ca="1"/>
        <v>537.56258790382151</v>
      </c>
      <c r="BT44" s="68">
        <f ca="1"/>
        <v>537.57724512279628</v>
      </c>
      <c r="BU44" s="68">
        <f ca="1"/>
        <v>537.57724512279628</v>
      </c>
      <c r="BV44" s="68">
        <f ca="1"/>
        <v>537.57724512279628</v>
      </c>
      <c r="BW44" s="68">
        <f ca="1"/>
        <v>537.57724512279628</v>
      </c>
      <c r="BX44" s="68">
        <f ca="1"/>
        <v>537.57724512279628</v>
      </c>
      <c r="BY44" s="68">
        <f ca="1"/>
        <v>537.57724512279628</v>
      </c>
      <c r="BZ44" s="68">
        <f ca="1"/>
        <v>537.57724512279628</v>
      </c>
      <c r="CA44" s="68">
        <f ca="1"/>
        <v>537.57724512279628</v>
      </c>
      <c r="CB44" s="68">
        <f ca="1"/>
        <v>537.57724512279628</v>
      </c>
      <c r="CC44" s="68">
        <f ca="1"/>
        <v>537.57724512279628</v>
      </c>
      <c r="CD44" s="68">
        <f ca="1"/>
        <v>537.57724512279628</v>
      </c>
      <c r="CE44" s="68">
        <f ca="1"/>
        <v>537.57724512279628</v>
      </c>
      <c r="CF44" s="68">
        <f ca="1"/>
        <v>537.57724512279628</v>
      </c>
      <c r="CG44" s="68">
        <f ca="1"/>
        <v>537.57724512279628</v>
      </c>
      <c r="CH44" s="68">
        <f ca="1"/>
        <v>537.57724512279628</v>
      </c>
      <c r="CI44" s="68">
        <f ca="1"/>
        <v>537.57724512279628</v>
      </c>
      <c r="CJ44" s="68">
        <f ca="1"/>
        <v>537.57724512279628</v>
      </c>
      <c r="CK44" s="68">
        <f ca="1"/>
        <v>537.57724512279628</v>
      </c>
      <c r="CL44" s="68">
        <f ca="1"/>
        <v>537.57724512279628</v>
      </c>
      <c r="CM44" s="68">
        <f ca="1"/>
        <v>537.57724512279628</v>
      </c>
      <c r="CN44" s="68">
        <f ca="1"/>
        <v>537.57724512279628</v>
      </c>
      <c r="CO44" s="68">
        <f ca="1"/>
        <v>537.57724512279628</v>
      </c>
      <c r="CP44" s="68">
        <f ca="1"/>
        <v>537.57724512279628</v>
      </c>
      <c r="CQ44" s="68">
        <f ca="1"/>
        <v>537.57724512279628</v>
      </c>
      <c r="CR44" s="68">
        <f ca="1"/>
        <v>537.57724512279628</v>
      </c>
      <c r="CS44" s="68">
        <f ca="1"/>
        <v>537.57724512279628</v>
      </c>
      <c r="CT44" s="68" t="str">
        <f ca="1"/>
        <v/>
      </c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O44" s="281"/>
      <c r="DP44">
        <f ca="1"/>
        <v>19</v>
      </c>
      <c r="DQ44" t="str">
        <f ca="1"/>
        <v>Diesel</v>
      </c>
      <c r="DR44" s="73">
        <f ca="1"/>
        <v>2938.8100000000004</v>
      </c>
      <c r="DS44" s="74">
        <f ca="1"/>
        <v>0.1</v>
      </c>
      <c r="DT44" s="74">
        <f ca="1"/>
        <v>0.1</v>
      </c>
      <c r="DV44" t="str">
        <f ca="1"/>
        <v>Masonry</v>
      </c>
      <c r="DW44" s="68">
        <f ca="1"/>
        <v>245.59000000000003</v>
      </c>
      <c r="DX44" s="74">
        <f ca="1"/>
        <v>0.25</v>
      </c>
      <c r="EG44" s="281"/>
      <c r="EI44" s="85"/>
      <c r="EJ44" s="80"/>
      <c r="EK44" s="86"/>
      <c r="EL44" s="81"/>
      <c r="EM44" s="81"/>
      <c r="EN44" s="81"/>
      <c r="EO44" s="81"/>
      <c r="EP44" s="82"/>
      <c r="EQ44" s="87"/>
      <c r="ER44" s="97"/>
      <c r="ES44" s="88"/>
      <c r="FL44" s="281"/>
      <c r="FW44" s="281"/>
      <c r="GC44" s="281"/>
      <c r="GF44" s="129"/>
      <c r="GG44" s="129"/>
      <c r="GH44" s="128"/>
      <c r="GI44" s="128"/>
      <c r="GJ44" s="81"/>
      <c r="GK44" s="81"/>
      <c r="GL44" s="81"/>
      <c r="GM44" s="81"/>
      <c r="GN44" s="81"/>
      <c r="GO44" s="81"/>
      <c r="GP44" s="87"/>
      <c r="GQ44" s="87"/>
      <c r="GR44" s="97"/>
      <c r="GS44" s="97"/>
      <c r="GT44" s="88"/>
      <c r="GU44" s="88"/>
      <c r="GX44" s="17"/>
      <c r="GZ44" s="281"/>
      <c r="HB44" s="17"/>
      <c r="HN44" s="281"/>
      <c r="HP44" s="17"/>
      <c r="HY44" s="281"/>
    </row>
    <row r="45" spans="3:233" ht="15.6" thickTop="1" thickBot="1">
      <c r="C45" s="281"/>
      <c r="AC45" s="281"/>
      <c r="AE45" s="59" t="str">
        <f t="shared" si="14"/>
        <v>Residential Building - high density</v>
      </c>
      <c r="AF45" s="59" t="str">
        <f t="shared" si="22"/>
        <v>Plant and equipment</v>
      </c>
      <c r="AG45" s="60">
        <f t="shared" si="23"/>
        <v>46447</v>
      </c>
      <c r="AH45" s="79">
        <f ca="1">IFERROR(INDEX('Core Inputs Interface'!$1:$1048576,MATCH($AE45,'Core Inputs Interface'!$H:$H,0),MATCH($AG45,'Core Inputs Interface'!$17:$17,0)),"")</f>
        <v>702</v>
      </c>
      <c r="AI45" s="55">
        <f t="shared" si="8"/>
        <v>6.5000000000000002E-2</v>
      </c>
      <c r="AJ45" s="55">
        <f t="shared" si="1"/>
        <v>0.31546495432215926</v>
      </c>
      <c r="AK45" s="55">
        <f t="shared" si="2"/>
        <v>0.8</v>
      </c>
      <c r="AL45" s="55">
        <f t="shared" ca="1" si="9"/>
        <v>0.25</v>
      </c>
      <c r="AM45" s="65">
        <f t="shared" ca="1" si="3"/>
        <v>2.8789331731440257</v>
      </c>
      <c r="AN45" s="66">
        <f t="shared" ca="1" si="4"/>
        <v>45.63</v>
      </c>
      <c r="AO45" s="56">
        <f t="shared" ca="1" si="10"/>
        <v>6.3092990864431861E-2</v>
      </c>
      <c r="AP45" t="str">
        <f t="shared" si="24"/>
        <v>Residential Building - high density_46447</v>
      </c>
      <c r="AQ45" t="str">
        <f t="shared" si="25"/>
        <v>Plant and equipment_46447</v>
      </c>
      <c r="AS45" s="281"/>
      <c r="AT45" t="str">
        <f ca="1"/>
        <v>Diesel</v>
      </c>
      <c r="AU45" s="68">
        <f t="shared" ca="1" si="19"/>
        <v>39.067288019765911</v>
      </c>
      <c r="AV45" s="68">
        <f t="shared" ca="1" si="19"/>
        <v>40.908844600286223</v>
      </c>
      <c r="AW45" s="68">
        <f t="shared" ca="1" si="20"/>
        <v>79.976132620052141</v>
      </c>
      <c r="AZ45" s="148" t="s">
        <v>76</v>
      </c>
      <c r="BA45" s="68" cm="1">
        <f t="array" aca="1" ref="BA45:CT45" ca="1">IFERROR(_xlfn.ANCHORARRAY(BA43)+_xlfn.ANCHORARRAY(BA44),"")</f>
        <v>137.45186617761667</v>
      </c>
      <c r="BB45" s="68">
        <f ca="1"/>
        <v>206.057863255656</v>
      </c>
      <c r="BC45" s="68">
        <f ca="1"/>
        <v>267.73704307000884</v>
      </c>
      <c r="BD45" s="68">
        <f ca="1"/>
        <v>322.0288203241048</v>
      </c>
      <c r="BE45" s="68">
        <f ca="1"/>
        <v>361.0961083438707</v>
      </c>
      <c r="BF45" s="68">
        <f ca="1"/>
        <v>398.37308132550851</v>
      </c>
      <c r="BG45" s="68">
        <f ca="1"/>
        <v>433.7186649022957</v>
      </c>
      <c r="BH45" s="68">
        <f ca="1"/>
        <v>463.02423965201649</v>
      </c>
      <c r="BI45" s="68">
        <f ca="1"/>
        <v>479.4541933089746</v>
      </c>
      <c r="BJ45" s="68">
        <f ca="1"/>
        <v>490.49419330897462</v>
      </c>
      <c r="BK45" s="68">
        <f ca="1"/>
        <v>499.6703839233088</v>
      </c>
      <c r="BL45" s="68">
        <f ca="1"/>
        <v>508.72489840168743</v>
      </c>
      <c r="BM45" s="68">
        <f ca="1"/>
        <v>517.77460574890404</v>
      </c>
      <c r="BN45" s="68">
        <f ca="1"/>
        <v>524.83344388262242</v>
      </c>
      <c r="BO45" s="68">
        <f ca="1"/>
        <v>530.10640289763228</v>
      </c>
      <c r="BP45" s="68">
        <f ca="1"/>
        <v>533.38842830057081</v>
      </c>
      <c r="BQ45" s="68">
        <f ca="1"/>
        <v>535.79901426942979</v>
      </c>
      <c r="BR45" s="68">
        <f ca="1"/>
        <v>537.56258790382151</v>
      </c>
      <c r="BS45" s="68">
        <f ca="1"/>
        <v>537.57724512279628</v>
      </c>
      <c r="BT45" s="68">
        <f ca="1"/>
        <v>537.57724512279628</v>
      </c>
      <c r="BU45" s="68">
        <f ca="1"/>
        <v>537.57724512279628</v>
      </c>
      <c r="BV45" s="68">
        <f ca="1"/>
        <v>537.57724512279628</v>
      </c>
      <c r="BW45" s="68">
        <f ca="1"/>
        <v>537.57724512279628</v>
      </c>
      <c r="BX45" s="68">
        <f ca="1"/>
        <v>537.57724512279628</v>
      </c>
      <c r="BY45" s="68">
        <f ca="1"/>
        <v>537.57724512279628</v>
      </c>
      <c r="BZ45" s="68">
        <f ca="1"/>
        <v>537.57724512279628</v>
      </c>
      <c r="CA45" s="68">
        <f ca="1"/>
        <v>537.57724512279628</v>
      </c>
      <c r="CB45" s="68">
        <f ca="1"/>
        <v>537.57724512279628</v>
      </c>
      <c r="CC45" s="68">
        <f ca="1"/>
        <v>537.57724512279628</v>
      </c>
      <c r="CD45" s="68">
        <f ca="1"/>
        <v>537.57724512279628</v>
      </c>
      <c r="CE45" s="68">
        <f ca="1"/>
        <v>537.57724512279628</v>
      </c>
      <c r="CF45" s="68">
        <f ca="1"/>
        <v>537.57724512279628</v>
      </c>
      <c r="CG45" s="68">
        <f ca="1"/>
        <v>537.57724512279628</v>
      </c>
      <c r="CH45" s="68">
        <f ca="1"/>
        <v>537.57724512279628</v>
      </c>
      <c r="CI45" s="68">
        <f ca="1"/>
        <v>537.57724512279628</v>
      </c>
      <c r="CJ45" s="68">
        <f ca="1"/>
        <v>537.57724512279628</v>
      </c>
      <c r="CK45" s="68">
        <f ca="1"/>
        <v>537.57724512279628</v>
      </c>
      <c r="CL45" s="68">
        <f ca="1"/>
        <v>537.57724512279628</v>
      </c>
      <c r="CM45" s="68">
        <f ca="1"/>
        <v>537.57724512279628</v>
      </c>
      <c r="CN45" s="68">
        <f ca="1"/>
        <v>537.57724512279628</v>
      </c>
      <c r="CO45" s="68">
        <f ca="1"/>
        <v>537.57724512279628</v>
      </c>
      <c r="CP45" s="68">
        <f ca="1"/>
        <v>537.57724512279628</v>
      </c>
      <c r="CQ45" s="68">
        <f ca="1"/>
        <v>537.57724512279628</v>
      </c>
      <c r="CR45" s="68">
        <f ca="1"/>
        <v>537.57724512279628</v>
      </c>
      <c r="CS45" s="68">
        <f ca="1"/>
        <v>537.57724512279628</v>
      </c>
      <c r="CT45" s="68" t="str">
        <f ca="1"/>
        <v/>
      </c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O45" s="281"/>
      <c r="DP45">
        <f ca="1"/>
        <v>20</v>
      </c>
      <c r="DQ45" t="str">
        <f ca="1"/>
        <v>Vehicles</v>
      </c>
      <c r="DR45" s="73">
        <f ca="1"/>
        <v>1341</v>
      </c>
      <c r="DS45" s="74">
        <f ca="1"/>
        <v>0.25</v>
      </c>
      <c r="DT45" s="74">
        <f ca="1"/>
        <v>0.25</v>
      </c>
      <c r="DV45" t="str">
        <f ca="1"/>
        <v>Wood</v>
      </c>
      <c r="DW45" s="68">
        <f ca="1"/>
        <v>240.20999999999998</v>
      </c>
      <c r="DX45" s="74">
        <f ca="1"/>
        <v>0.25</v>
      </c>
      <c r="EG45" s="281"/>
      <c r="EI45" s="85"/>
      <c r="EJ45" s="80"/>
      <c r="EK45" s="86"/>
      <c r="EL45" s="81"/>
      <c r="EM45" s="81"/>
      <c r="EN45" s="81"/>
      <c r="EO45" s="81"/>
      <c r="EP45" s="82"/>
      <c r="EQ45" s="87"/>
      <c r="ER45" s="97"/>
      <c r="ES45" s="88"/>
      <c r="FL45" s="281"/>
      <c r="FW45" s="281"/>
      <c r="GC45" s="281"/>
      <c r="GF45" s="129"/>
      <c r="GG45" s="129"/>
      <c r="GH45" s="128"/>
      <c r="GI45" s="128"/>
      <c r="GJ45" s="81"/>
      <c r="GK45" s="81"/>
      <c r="GL45" s="81"/>
      <c r="GM45" s="81"/>
      <c r="GN45" s="81"/>
      <c r="GO45" s="81"/>
      <c r="GP45" s="87"/>
      <c r="GQ45" s="87"/>
      <c r="GR45" s="97"/>
      <c r="GS45" s="97"/>
      <c r="GT45" s="88"/>
      <c r="GU45" s="88"/>
      <c r="GX45" s="17"/>
      <c r="GZ45" s="281"/>
      <c r="HB45" s="17"/>
      <c r="HN45" s="281"/>
      <c r="HP45" s="17"/>
      <c r="HY45" s="281"/>
    </row>
    <row r="46" spans="3:233" ht="15.6" thickTop="1" thickBot="1">
      <c r="C46" s="281"/>
      <c r="AC46" s="281"/>
      <c r="AE46" s="59" t="str">
        <f t="shared" si="14"/>
        <v>Residential Building - high density</v>
      </c>
      <c r="AF46" s="59" t="str">
        <f t="shared" si="22"/>
        <v>Electrical equipment</v>
      </c>
      <c r="AG46" s="60">
        <f t="shared" si="23"/>
        <v>46447</v>
      </c>
      <c r="AH46" s="79">
        <f ca="1">IFERROR(INDEX('Core Inputs Interface'!$1:$1048576,MATCH($AE46,'Core Inputs Interface'!$H:$H,0),MATCH($AG46,'Core Inputs Interface'!$17:$17,0)),"")</f>
        <v>702</v>
      </c>
      <c r="AI46" s="55">
        <f t="shared" si="8"/>
        <v>0.03</v>
      </c>
      <c r="AJ46" s="55">
        <f t="shared" si="1"/>
        <v>0.48556692694591386</v>
      </c>
      <c r="AK46" s="55">
        <f t="shared" si="2"/>
        <v>0.8</v>
      </c>
      <c r="AL46" s="55">
        <f t="shared" ca="1" si="9"/>
        <v>0.25</v>
      </c>
      <c r="AM46" s="65">
        <f t="shared" ca="1" si="3"/>
        <v>2.0452078962961893</v>
      </c>
      <c r="AN46" s="66">
        <f t="shared" ca="1" si="4"/>
        <v>21.06</v>
      </c>
      <c r="AO46" s="56">
        <f t="shared" ca="1" si="10"/>
        <v>9.711338538918278E-2</v>
      </c>
      <c r="AP46" t="str">
        <f t="shared" si="24"/>
        <v>Residential Building - high density_46447</v>
      </c>
      <c r="AQ46" t="str">
        <f t="shared" si="25"/>
        <v>Electrical equipment_46447</v>
      </c>
      <c r="AS46" s="281"/>
      <c r="AT46" t="str">
        <f ca="1"/>
        <v>Vehicles</v>
      </c>
      <c r="AU46" s="68">
        <f t="shared" ca="1" si="19"/>
        <v>68.605997078039351</v>
      </c>
      <c r="AV46" s="68">
        <f t="shared" ca="1" si="19"/>
        <v>72.067767572802794</v>
      </c>
      <c r="AW46" s="68">
        <f t="shared" ca="1" si="20"/>
        <v>140.67376465084214</v>
      </c>
      <c r="AZ46" s="147" t="s">
        <v>62</v>
      </c>
      <c r="BA46" s="149" t="str" cm="1">
        <f t="array" aca="1" ref="BA46:CT46" ca="1">_xlfn.HSTACK(TRANSPOSE(_xlfn.SORTBY($AT$27:$AT$71,$AU$27:$AU$71,-1)),$AT$72)</f>
        <v>Plant and equipment</v>
      </c>
      <c r="BB46" s="149" t="str">
        <f ca="1"/>
        <v>Vehicles</v>
      </c>
      <c r="BC46" s="149" t="str">
        <f ca="1"/>
        <v>Structural steel</v>
      </c>
      <c r="BD46" s="149" t="str">
        <f ca="1"/>
        <v>Electrical wire</v>
      </c>
      <c r="BE46" s="149" t="str">
        <f ca="1"/>
        <v>Diesel</v>
      </c>
      <c r="BF46" s="149" t="str">
        <f ca="1"/>
        <v>Electrical equipment</v>
      </c>
      <c r="BG46" s="149" t="str">
        <f ca="1"/>
        <v>Water equipment</v>
      </c>
      <c r="BH46" s="149" t="str">
        <f ca="1"/>
        <v>Bitumen</v>
      </c>
      <c r="BI46" s="149" t="str">
        <f ca="1"/>
        <v>Interior</v>
      </c>
      <c r="BJ46" s="149" t="str">
        <f ca="1"/>
        <v>Firetrucks</v>
      </c>
      <c r="BK46" s="149" t="str">
        <f ca="1"/>
        <v>Glass</v>
      </c>
      <c r="BL46" s="149" t="str">
        <f ca="1"/>
        <v>Road equipment</v>
      </c>
      <c r="BM46" s="149" t="str">
        <f ca="1"/>
        <v>Reinforcing bar</v>
      </c>
      <c r="BN46" s="149" t="str">
        <f ca="1"/>
        <v>Polyethylene pipes</v>
      </c>
      <c r="BO46" s="149" t="str">
        <f ca="1"/>
        <v>Quarry Material</v>
      </c>
      <c r="BP46" s="149" t="str">
        <f ca="1"/>
        <v>Concrete</v>
      </c>
      <c r="BQ46" s="149" t="str">
        <f ca="1"/>
        <v>Wood</v>
      </c>
      <c r="BR46" s="149" t="str">
        <f ca="1"/>
        <v>Masonry</v>
      </c>
      <c r="BS46" s="149" t="str">
        <f ca="1"/>
        <v>Roofing</v>
      </c>
      <c r="BT46" s="149" t="str">
        <f ca="1"/>
        <v>Labour</v>
      </c>
      <c r="BU46" s="149" t="str">
        <f ca="1"/>
        <v>Engineering design</v>
      </c>
      <c r="BV46" s="149" t="str">
        <f ca="1"/>
        <v>Machinery &amp; Equipment</v>
      </c>
      <c r="BW46" s="149" t="str">
        <f ca="1"/>
        <v>Office Equipment &amp; IT</v>
      </c>
      <c r="BX46" s="149">
        <f ca="1"/>
        <v>0</v>
      </c>
      <c r="BY46" s="149">
        <f ca="1"/>
        <v>0</v>
      </c>
      <c r="BZ46" s="149">
        <f ca="1"/>
        <v>0</v>
      </c>
      <c r="CA46" s="149">
        <f ca="1"/>
        <v>0</v>
      </c>
      <c r="CB46" s="149">
        <f ca="1"/>
        <v>0</v>
      </c>
      <c r="CC46" s="149">
        <f ca="1"/>
        <v>0</v>
      </c>
      <c r="CD46" s="149">
        <f ca="1"/>
        <v>0</v>
      </c>
      <c r="CE46" s="149">
        <f ca="1"/>
        <v>0</v>
      </c>
      <c r="CF46" s="149">
        <f ca="1"/>
        <v>0</v>
      </c>
      <c r="CG46" s="149">
        <f ca="1"/>
        <v>0</v>
      </c>
      <c r="CH46" s="149">
        <f ca="1"/>
        <v>0</v>
      </c>
      <c r="CI46" s="149">
        <f ca="1"/>
        <v>0</v>
      </c>
      <c r="CJ46" s="149">
        <f ca="1"/>
        <v>0</v>
      </c>
      <c r="CK46" s="149">
        <f ca="1"/>
        <v>0</v>
      </c>
      <c r="CL46" s="149">
        <f ca="1"/>
        <v>0</v>
      </c>
      <c r="CM46" s="149">
        <f ca="1"/>
        <v>0</v>
      </c>
      <c r="CN46" s="149">
        <f ca="1"/>
        <v>0</v>
      </c>
      <c r="CO46" s="149">
        <f ca="1"/>
        <v>0</v>
      </c>
      <c r="CP46" s="149">
        <f ca="1"/>
        <v>0</v>
      </c>
      <c r="CQ46" s="149">
        <f ca="1"/>
        <v>0</v>
      </c>
      <c r="CR46" s="149">
        <f ca="1"/>
        <v>0</v>
      </c>
      <c r="CS46" s="149">
        <f ca="1"/>
        <v>0</v>
      </c>
      <c r="CT46" s="149" t="str">
        <f ca="1"/>
        <v>Total</v>
      </c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9"/>
      <c r="DF46" s="149"/>
      <c r="DG46" s="149"/>
      <c r="DH46" s="149"/>
      <c r="DI46" s="149"/>
      <c r="DJ46" s="149"/>
      <c r="DK46" s="149"/>
      <c r="DL46" s="149"/>
      <c r="DM46" s="149"/>
      <c r="DO46" s="281"/>
      <c r="DP46">
        <f ca="1"/>
        <v>21</v>
      </c>
      <c r="DQ46" t="str">
        <f ca="1"/>
        <v>Machinery &amp; Equipment</v>
      </c>
      <c r="DR46" s="73">
        <f ca="1"/>
        <v>0</v>
      </c>
      <c r="DS46" s="74">
        <f ca="1"/>
        <v>0.25</v>
      </c>
      <c r="DT46" s="74">
        <f ca="1"/>
        <v>0.25</v>
      </c>
      <c r="DV46" t="str">
        <f ca="1"/>
        <v>Firetrucks</v>
      </c>
      <c r="DW46">
        <f ca="1"/>
        <v>162</v>
      </c>
      <c r="DX46" s="74">
        <f ca="1"/>
        <v>0.25</v>
      </c>
      <c r="EG46" s="281"/>
      <c r="EI46" s="85"/>
      <c r="EJ46" s="80"/>
      <c r="EK46" s="86"/>
      <c r="EL46" s="81"/>
      <c r="EM46" s="81"/>
      <c r="EN46" s="81"/>
      <c r="EO46" s="81"/>
      <c r="EP46" s="82"/>
      <c r="EQ46" s="87"/>
      <c r="ER46" s="97"/>
      <c r="ES46" s="88"/>
      <c r="FL46" s="281"/>
      <c r="FW46" s="281"/>
      <c r="GC46" s="281"/>
      <c r="GF46" s="129"/>
      <c r="GG46" s="129"/>
      <c r="GH46" s="128"/>
      <c r="GI46" s="128"/>
      <c r="GJ46" s="81"/>
      <c r="GK46" s="81"/>
      <c r="GL46" s="81"/>
      <c r="GM46" s="81"/>
      <c r="GN46" s="81"/>
      <c r="GO46" s="81"/>
      <c r="GP46" s="87"/>
      <c r="GQ46" s="87"/>
      <c r="GR46" s="97"/>
      <c r="GS46" s="97"/>
      <c r="GT46" s="88"/>
      <c r="GU46" s="88"/>
      <c r="GX46" s="17"/>
      <c r="GZ46" s="281"/>
      <c r="HB46" s="17"/>
      <c r="HN46" s="281"/>
      <c r="HP46" s="17"/>
      <c r="HY46" s="281"/>
    </row>
    <row r="47" spans="3:233" ht="15.6" thickTop="1" thickBot="1">
      <c r="C47" s="281"/>
      <c r="AC47" s="281"/>
      <c r="AE47" s="59" t="str">
        <f t="shared" si="14"/>
        <v>Residential Building - high density</v>
      </c>
      <c r="AF47" s="59" t="str">
        <f t="shared" si="22"/>
        <v>Road equipment</v>
      </c>
      <c r="AG47" s="60">
        <f t="shared" si="23"/>
        <v>46447</v>
      </c>
      <c r="AH47" s="79">
        <f ca="1">IFERROR(INDEX('Core Inputs Interface'!$1:$1048576,MATCH($AE47,'Core Inputs Interface'!$H:$H,0),MATCH($AG47,'Core Inputs Interface'!$17:$17,0)),"")</f>
        <v>702</v>
      </c>
      <c r="AI47" s="55">
        <f t="shared" si="8"/>
        <v>0</v>
      </c>
      <c r="AJ47" s="55">
        <f t="shared" si="1"/>
        <v>0.23440288076987165</v>
      </c>
      <c r="AK47" s="55">
        <f t="shared" si="2"/>
        <v>0.8</v>
      </c>
      <c r="AL47" s="55">
        <f t="shared" ca="1" si="9"/>
        <v>0.25</v>
      </c>
      <c r="AM47" s="65">
        <f t="shared" ca="1" si="3"/>
        <v>0</v>
      </c>
      <c r="AN47" s="66">
        <f t="shared" ca="1" si="4"/>
        <v>0</v>
      </c>
      <c r="AO47" s="56">
        <f t="shared" ca="1" si="10"/>
        <v>0</v>
      </c>
      <c r="AP47" t="str">
        <f t="shared" si="24"/>
        <v>Residential Building - high density_46447</v>
      </c>
      <c r="AQ47" t="str">
        <f t="shared" si="25"/>
        <v>Road equipment_46447</v>
      </c>
      <c r="AS47" s="281"/>
      <c r="AT47" t="str">
        <f ca="1"/>
        <v>Machinery &amp; Equipment</v>
      </c>
      <c r="AU47" s="68">
        <f t="shared" ca="1" si="19"/>
        <v>0</v>
      </c>
      <c r="AV47" s="68">
        <f t="shared" ca="1" si="19"/>
        <v>0</v>
      </c>
      <c r="AW47" s="68">
        <f t="shared" ca="1" si="20"/>
        <v>0</v>
      </c>
      <c r="AZ47" s="148" t="s">
        <v>101</v>
      </c>
      <c r="BA47" s="68" cm="1">
        <f t="array" aca="1" ref="BA47:CT47" ca="1">_xlfn.HSTACK(TRANSPOSE(_xlfn.SORTBY($AV$27:$AV$71,$AV$27:$AV$71,-1)),SUM(AV27:AV71))</f>
        <v>143.01067413772742</v>
      </c>
      <c r="BB47" s="68">
        <f ca="1"/>
        <v>72.067767572802794</v>
      </c>
      <c r="BC47" s="68">
        <f ca="1"/>
        <v>66.324687867324741</v>
      </c>
      <c r="BD47" s="68">
        <f ca="1"/>
        <v>57.169933464263842</v>
      </c>
      <c r="BE47" s="68">
        <f ca="1"/>
        <v>40.908844600286223</v>
      </c>
      <c r="BF47" s="68">
        <f ca="1"/>
        <v>37.8004141288855</v>
      </c>
      <c r="BG47" s="68">
        <f ca="1"/>
        <v>37.149823502476053</v>
      </c>
      <c r="BH47" s="68">
        <f ca="1"/>
        <v>30.798620496522361</v>
      </c>
      <c r="BI47" s="68">
        <f ca="1"/>
        <v>17.445829893433256</v>
      </c>
      <c r="BJ47" s="68">
        <f ca="1"/>
        <v>14.880000000000003</v>
      </c>
      <c r="BK47" s="68">
        <f ca="1"/>
        <v>9.7132962783598433</v>
      </c>
      <c r="BL47" s="68">
        <f ca="1"/>
        <v>9.5499433772083968</v>
      </c>
      <c r="BM47" s="68">
        <f ca="1"/>
        <v>9.5158193477337107</v>
      </c>
      <c r="BN47" s="68">
        <f ca="1"/>
        <v>7.4232918915457802</v>
      </c>
      <c r="BO47" s="68">
        <f ca="1"/>
        <v>5.5416030903318543</v>
      </c>
      <c r="BP47" s="68">
        <f ca="1"/>
        <v>3.450138922767942</v>
      </c>
      <c r="BQ47" s="68">
        <f ca="1"/>
        <v>2.5764681658375044</v>
      </c>
      <c r="BR47" s="68">
        <f ca="1"/>
        <v>1.8617385684229428</v>
      </c>
      <c r="BS47" s="68">
        <f ca="1"/>
        <v>1.5544392352664489E-2</v>
      </c>
      <c r="BT47">
        <f ca="1"/>
        <v>0</v>
      </c>
      <c r="BU47">
        <f ca="1"/>
        <v>0</v>
      </c>
      <c r="BV47">
        <f ca="1"/>
        <v>0</v>
      </c>
      <c r="BW47">
        <f ca="1"/>
        <v>0</v>
      </c>
      <c r="BX47">
        <f ca="1"/>
        <v>0</v>
      </c>
      <c r="BY47">
        <f ca="1"/>
        <v>0</v>
      </c>
      <c r="BZ47">
        <f ca="1"/>
        <v>0</v>
      </c>
      <c r="CA47">
        <f ca="1"/>
        <v>0</v>
      </c>
      <c r="CB47">
        <f ca="1"/>
        <v>0</v>
      </c>
      <c r="CC47">
        <f ca="1"/>
        <v>0</v>
      </c>
      <c r="CD47">
        <f ca="1"/>
        <v>0</v>
      </c>
      <c r="CE47">
        <f ca="1"/>
        <v>0</v>
      </c>
      <c r="CF47">
        <f ca="1"/>
        <v>0</v>
      </c>
      <c r="CG47">
        <f ca="1"/>
        <v>0</v>
      </c>
      <c r="CH47">
        <f ca="1"/>
        <v>0</v>
      </c>
      <c r="CI47">
        <f ca="1"/>
        <v>0</v>
      </c>
      <c r="CJ47">
        <f ca="1"/>
        <v>0</v>
      </c>
      <c r="CK47">
        <f ca="1"/>
        <v>0</v>
      </c>
      <c r="CL47">
        <f ca="1"/>
        <v>0</v>
      </c>
      <c r="CM47">
        <f ca="1"/>
        <v>0</v>
      </c>
      <c r="CN47">
        <f ca="1"/>
        <v>0</v>
      </c>
      <c r="CO47">
        <f ca="1"/>
        <v>0</v>
      </c>
      <c r="CP47">
        <f ca="1"/>
        <v>0</v>
      </c>
      <c r="CQ47">
        <f ca="1"/>
        <v>0</v>
      </c>
      <c r="CR47">
        <f ca="1"/>
        <v>0</v>
      </c>
      <c r="CS47">
        <f ca="1"/>
        <v>0</v>
      </c>
      <c r="CT47">
        <f ca="1"/>
        <v>567.20443969828284</v>
      </c>
      <c r="DO47" s="281"/>
      <c r="DP47">
        <f ca="1"/>
        <v>22</v>
      </c>
      <c r="DQ47" t="str">
        <f ca="1"/>
        <v>Office Equipment &amp; IT</v>
      </c>
      <c r="DR47" s="73">
        <f ca="1"/>
        <v>0</v>
      </c>
      <c r="DS47" s="74">
        <f ca="1"/>
        <v>0.25</v>
      </c>
      <c r="DT47" s="74">
        <f ca="1"/>
        <v>0.25</v>
      </c>
      <c r="DV47" t="str">
        <f ca="1"/>
        <v>Machinery &amp; Equipment</v>
      </c>
      <c r="DW47">
        <f ca="1"/>
        <v>0</v>
      </c>
      <c r="DX47">
        <f ca="1"/>
        <v>0.25</v>
      </c>
      <c r="EG47" s="281"/>
      <c r="EI47" s="85"/>
      <c r="EJ47" s="80"/>
      <c r="EK47" s="86"/>
      <c r="EL47" s="81"/>
      <c r="EM47" s="81"/>
      <c r="EN47" s="81"/>
      <c r="EO47" s="81"/>
      <c r="EP47" s="82"/>
      <c r="EQ47" s="87"/>
      <c r="ER47" s="97"/>
      <c r="ES47" s="88"/>
      <c r="FL47" s="281"/>
      <c r="FW47" s="281"/>
      <c r="GC47" s="281"/>
      <c r="GF47" s="129"/>
      <c r="GG47" s="129"/>
      <c r="GH47" s="128"/>
      <c r="GI47" s="128"/>
      <c r="GJ47" s="81"/>
      <c r="GK47" s="81"/>
      <c r="GL47" s="81"/>
      <c r="GM47" s="81"/>
      <c r="GN47" s="81"/>
      <c r="GO47" s="81"/>
      <c r="GP47" s="87"/>
      <c r="GQ47" s="87"/>
      <c r="GR47" s="97"/>
      <c r="GS47" s="97"/>
      <c r="GT47" s="88"/>
      <c r="GU47" s="88"/>
      <c r="GX47" s="17"/>
      <c r="GZ47" s="281"/>
      <c r="HB47" s="17"/>
      <c r="HN47" s="281"/>
      <c r="HP47" s="17"/>
      <c r="HY47" s="281"/>
    </row>
    <row r="48" spans="3:233" ht="15.6" thickTop="1" thickBot="1">
      <c r="C48" s="281"/>
      <c r="AC48" s="281"/>
      <c r="AE48" s="59" t="str">
        <f t="shared" si="14"/>
        <v>Residential Building - high density</v>
      </c>
      <c r="AF48" s="59" t="str">
        <f t="shared" si="22"/>
        <v>Water equipment</v>
      </c>
      <c r="AG48" s="60">
        <f t="shared" si="23"/>
        <v>46447</v>
      </c>
      <c r="AH48" s="79">
        <f ca="1">IFERROR(INDEX('Core Inputs Interface'!$1:$1048576,MATCH($AE48,'Core Inputs Interface'!$H:$H,0),MATCH($AG48,'Core Inputs Interface'!$17:$17,0)),"")</f>
        <v>702</v>
      </c>
      <c r="AI48" s="55">
        <f t="shared" si="8"/>
        <v>0</v>
      </c>
      <c r="AJ48" s="55">
        <f t="shared" si="1"/>
        <v>0.53411483886586031</v>
      </c>
      <c r="AK48" s="55">
        <f t="shared" si="2"/>
        <v>0.8</v>
      </c>
      <c r="AL48" s="55">
        <f t="shared" ca="1" si="9"/>
        <v>0.25</v>
      </c>
      <c r="AM48" s="65">
        <f t="shared" ca="1" si="3"/>
        <v>0</v>
      </c>
      <c r="AN48" s="66">
        <f t="shared" ca="1" si="4"/>
        <v>0</v>
      </c>
      <c r="AO48" s="56">
        <f t="shared" ca="1" si="10"/>
        <v>0</v>
      </c>
      <c r="AP48" t="str">
        <f t="shared" si="24"/>
        <v>Residential Building - high density_46447</v>
      </c>
      <c r="AQ48" t="str">
        <f t="shared" si="25"/>
        <v>Water equipment_46447</v>
      </c>
      <c r="AS48" s="281"/>
      <c r="AT48" t="str">
        <f ca="1"/>
        <v>Office Equipment &amp; IT</v>
      </c>
      <c r="AU48" s="68">
        <f t="shared" ca="1" si="19"/>
        <v>0</v>
      </c>
      <c r="AV48" s="68">
        <f t="shared" ca="1" si="19"/>
        <v>0</v>
      </c>
      <c r="AW48" s="68">
        <f t="shared" ca="1" si="20"/>
        <v>0</v>
      </c>
      <c r="AZ48" s="148" t="s">
        <v>104</v>
      </c>
      <c r="BA48" s="68" cm="1">
        <f t="array" aca="1" ref="BA48:CT48" ca="1">_xlfn.HSTACK(0,_xlfn.DROP(_xlfn.SCAN(0,_xlfn.ANCHORARRAY(BA47),_xlfn.LAMBDA(_xlpm.a,_xlpm.x,_xlpm.a+_xlpm.x)),,-2),"")</f>
        <v>0</v>
      </c>
      <c r="BB48" s="68">
        <f ca="1"/>
        <v>143.01067413772742</v>
      </c>
      <c r="BC48" s="68">
        <f ca="1"/>
        <v>215.07844171053023</v>
      </c>
      <c r="BD48" s="68">
        <f ca="1"/>
        <v>281.403129577855</v>
      </c>
      <c r="BE48" s="68">
        <f ca="1"/>
        <v>338.57306304211886</v>
      </c>
      <c r="BF48" s="68">
        <f ca="1"/>
        <v>379.48190764240508</v>
      </c>
      <c r="BG48" s="68">
        <f ca="1"/>
        <v>417.28232177129058</v>
      </c>
      <c r="BH48" s="68">
        <f ca="1"/>
        <v>454.43214527376665</v>
      </c>
      <c r="BI48" s="68">
        <f ca="1"/>
        <v>485.230765770289</v>
      </c>
      <c r="BJ48" s="68">
        <f ca="1"/>
        <v>502.67659566372225</v>
      </c>
      <c r="BK48" s="68">
        <f ca="1"/>
        <v>517.55659566372231</v>
      </c>
      <c r="BL48" s="68">
        <f ca="1"/>
        <v>527.26989194208215</v>
      </c>
      <c r="BM48" s="68">
        <f ca="1"/>
        <v>536.81983531929052</v>
      </c>
      <c r="BN48" s="68">
        <f ca="1"/>
        <v>546.33565466702419</v>
      </c>
      <c r="BO48" s="68">
        <f ca="1"/>
        <v>553.75894655856996</v>
      </c>
      <c r="BP48" s="68">
        <f ca="1"/>
        <v>559.30054964890178</v>
      </c>
      <c r="BQ48" s="68">
        <f ca="1"/>
        <v>562.75068857166968</v>
      </c>
      <c r="BR48" s="68">
        <f ca="1"/>
        <v>565.32715673750715</v>
      </c>
      <c r="BS48" s="68">
        <f ca="1"/>
        <v>567.18889530593015</v>
      </c>
      <c r="BT48">
        <f ca="1"/>
        <v>567.20443969828284</v>
      </c>
      <c r="BU48">
        <f ca="1"/>
        <v>567.20443969828284</v>
      </c>
      <c r="BV48">
        <f ca="1"/>
        <v>567.20443969828284</v>
      </c>
      <c r="BW48">
        <f ca="1"/>
        <v>567.20443969828284</v>
      </c>
      <c r="BX48">
        <f ca="1"/>
        <v>567.20443969828284</v>
      </c>
      <c r="BY48">
        <f ca="1"/>
        <v>567.20443969828284</v>
      </c>
      <c r="BZ48">
        <f ca="1"/>
        <v>567.20443969828284</v>
      </c>
      <c r="CA48">
        <f ca="1"/>
        <v>567.20443969828284</v>
      </c>
      <c r="CB48">
        <f ca="1"/>
        <v>567.20443969828284</v>
      </c>
      <c r="CC48">
        <f ca="1"/>
        <v>567.20443969828284</v>
      </c>
      <c r="CD48">
        <f ca="1"/>
        <v>567.20443969828284</v>
      </c>
      <c r="CE48">
        <f ca="1"/>
        <v>567.20443969828284</v>
      </c>
      <c r="CF48">
        <f ca="1"/>
        <v>567.20443969828284</v>
      </c>
      <c r="CG48">
        <f ca="1"/>
        <v>567.20443969828284</v>
      </c>
      <c r="CH48">
        <f ca="1"/>
        <v>567.20443969828284</v>
      </c>
      <c r="CI48">
        <f ca="1"/>
        <v>567.20443969828284</v>
      </c>
      <c r="CJ48">
        <f ca="1"/>
        <v>567.20443969828284</v>
      </c>
      <c r="CK48">
        <f ca="1"/>
        <v>567.20443969828284</v>
      </c>
      <c r="CL48">
        <f ca="1"/>
        <v>567.20443969828284</v>
      </c>
      <c r="CM48">
        <f ca="1"/>
        <v>567.20443969828284</v>
      </c>
      <c r="CN48">
        <f ca="1"/>
        <v>567.20443969828284</v>
      </c>
      <c r="CO48">
        <f ca="1"/>
        <v>567.20443969828284</v>
      </c>
      <c r="CP48">
        <f ca="1"/>
        <v>567.20443969828284</v>
      </c>
      <c r="CQ48">
        <f ca="1"/>
        <v>567.20443969828284</v>
      </c>
      <c r="CR48">
        <f ca="1"/>
        <v>567.20443969828284</v>
      </c>
      <c r="CS48">
        <f ca="1"/>
        <v>567.20443969828284</v>
      </c>
      <c r="CT48" t="str">
        <f ca="1"/>
        <v/>
      </c>
      <c r="DO48" s="281"/>
      <c r="DP48">
        <f ca="1"/>
        <v>23</v>
      </c>
      <c r="DQ48" t="str">
        <f ca="1"/>
        <v>Firetrucks</v>
      </c>
      <c r="DR48" s="73">
        <f ca="1"/>
        <v>162</v>
      </c>
      <c r="DS48" s="74">
        <f ca="1"/>
        <v>0.25</v>
      </c>
      <c r="DT48" s="74">
        <f ca="1"/>
        <v>0.25</v>
      </c>
      <c r="DV48" t="str">
        <f ca="1"/>
        <v>Office Equipment &amp; IT</v>
      </c>
      <c r="DW48">
        <f ca="1"/>
        <v>0</v>
      </c>
      <c r="DX48">
        <f ca="1"/>
        <v>0.25</v>
      </c>
      <c r="EG48" s="281"/>
      <c r="EI48" s="85"/>
      <c r="EJ48" s="80"/>
      <c r="EK48" s="86"/>
      <c r="EL48" s="81"/>
      <c r="EM48" s="81"/>
      <c r="EN48" s="81"/>
      <c r="EO48" s="81"/>
      <c r="EP48" s="82"/>
      <c r="EQ48" s="87"/>
      <c r="ER48" s="97"/>
      <c r="ES48" s="88"/>
      <c r="FL48" s="281"/>
      <c r="FW48" s="281"/>
      <c r="GC48" s="281"/>
      <c r="GF48" s="129"/>
      <c r="GG48" s="129"/>
      <c r="GH48" s="128"/>
      <c r="GI48" s="128"/>
      <c r="GJ48" s="81"/>
      <c r="GK48" s="81"/>
      <c r="GL48" s="81"/>
      <c r="GM48" s="81"/>
      <c r="GN48" s="81"/>
      <c r="GO48" s="81"/>
      <c r="GP48" s="87"/>
      <c r="GQ48" s="87"/>
      <c r="GR48" s="97"/>
      <c r="GS48" s="97"/>
      <c r="GT48" s="88"/>
      <c r="GU48" s="88"/>
      <c r="GX48" s="17"/>
      <c r="GZ48" s="281"/>
      <c r="HB48" s="17"/>
      <c r="HN48" s="281"/>
      <c r="HP48" s="17"/>
      <c r="HY48" s="281"/>
    </row>
    <row r="49" spans="3:233" ht="15.6" thickTop="1" thickBot="1">
      <c r="C49" s="281"/>
      <c r="AC49" s="281"/>
      <c r="AE49" s="59" t="str">
        <f t="shared" si="14"/>
        <v>Residential Building - high density</v>
      </c>
      <c r="AF49" s="59" t="str">
        <f t="shared" si="22"/>
        <v>Diesel</v>
      </c>
      <c r="AG49" s="60">
        <f t="shared" si="23"/>
        <v>46447</v>
      </c>
      <c r="AH49" s="79">
        <f ca="1">IFERROR(INDEX('Core Inputs Interface'!$1:$1048576,MATCH($AE49,'Core Inputs Interface'!$H:$H,0),MATCH($AG49,'Core Inputs Interface'!$17:$17,0)),"")</f>
        <v>702</v>
      </c>
      <c r="AI49" s="55">
        <f t="shared" si="8"/>
        <v>0.05</v>
      </c>
      <c r="AJ49" s="55">
        <f t="shared" si="1"/>
        <v>0.45356302165418505</v>
      </c>
      <c r="AK49" s="55">
        <f t="shared" si="2"/>
        <v>0.6</v>
      </c>
      <c r="AL49" s="55">
        <f t="shared" ca="1" si="9"/>
        <v>0.1</v>
      </c>
      <c r="AM49" s="65">
        <f t="shared" ca="1" si="3"/>
        <v>0.95520372360371375</v>
      </c>
      <c r="AN49" s="66">
        <f t="shared" ca="1" si="4"/>
        <v>35.1</v>
      </c>
      <c r="AO49" s="56">
        <f t="shared" ca="1" si="10"/>
        <v>2.7213781299251102E-2</v>
      </c>
      <c r="AP49" t="str">
        <f t="shared" si="24"/>
        <v>Residential Building - high density_46447</v>
      </c>
      <c r="AQ49" t="str">
        <f t="shared" si="25"/>
        <v>Diesel_46447</v>
      </c>
      <c r="AS49" s="281"/>
      <c r="AT49" t="str">
        <f ca="1"/>
        <v>Firetrucks</v>
      </c>
      <c r="AU49" s="68">
        <f t="shared" ca="1" si="19"/>
        <v>11.040000000000001</v>
      </c>
      <c r="AV49" s="68">
        <f t="shared" ca="1" si="19"/>
        <v>14.880000000000003</v>
      </c>
      <c r="AW49" s="68">
        <f t="shared" ref="AW49:AW71" ca="1" si="26">SUM(AU49:AV49)</f>
        <v>25.92</v>
      </c>
      <c r="AZ49" s="148" t="s">
        <v>76</v>
      </c>
      <c r="BA49" s="68" cm="1">
        <f t="array" aca="1" ref="BA49:CT49" ca="1">IFERROR(_xlfn.ANCHORARRAY(BA47)+_xlfn.ANCHORARRAY(BA48),"")</f>
        <v>143.01067413772742</v>
      </c>
      <c r="BB49" s="68">
        <f ca="1"/>
        <v>215.07844171053023</v>
      </c>
      <c r="BC49" s="68">
        <f ca="1"/>
        <v>281.403129577855</v>
      </c>
      <c r="BD49" s="68">
        <f ca="1"/>
        <v>338.57306304211886</v>
      </c>
      <c r="BE49" s="68">
        <f ca="1"/>
        <v>379.48190764240508</v>
      </c>
      <c r="BF49" s="68">
        <f ca="1"/>
        <v>417.28232177129058</v>
      </c>
      <c r="BG49" s="68">
        <f ca="1"/>
        <v>454.43214527376665</v>
      </c>
      <c r="BH49" s="68">
        <f ca="1"/>
        <v>485.230765770289</v>
      </c>
      <c r="BI49" s="68">
        <f ca="1"/>
        <v>502.67659566372225</v>
      </c>
      <c r="BJ49" s="68">
        <f ca="1"/>
        <v>517.55659566372231</v>
      </c>
      <c r="BK49" s="68">
        <f ca="1"/>
        <v>527.26989194208215</v>
      </c>
      <c r="BL49" s="68">
        <f ca="1"/>
        <v>536.81983531929052</v>
      </c>
      <c r="BM49" s="68">
        <f ca="1"/>
        <v>546.33565466702419</v>
      </c>
      <c r="BN49" s="68">
        <f ca="1"/>
        <v>553.75894655856996</v>
      </c>
      <c r="BO49" s="68">
        <f ca="1"/>
        <v>559.30054964890178</v>
      </c>
      <c r="BP49" s="68">
        <f ca="1"/>
        <v>562.75068857166968</v>
      </c>
      <c r="BQ49" s="68">
        <f ca="1"/>
        <v>565.32715673750715</v>
      </c>
      <c r="BR49" s="68">
        <f ca="1"/>
        <v>567.18889530593015</v>
      </c>
      <c r="BS49" s="68">
        <f ca="1"/>
        <v>567.20443969828284</v>
      </c>
      <c r="BT49">
        <f ca="1"/>
        <v>567.20443969828284</v>
      </c>
      <c r="BU49">
        <f ca="1"/>
        <v>567.20443969828284</v>
      </c>
      <c r="BV49">
        <f ca="1"/>
        <v>567.20443969828284</v>
      </c>
      <c r="BW49">
        <f ca="1"/>
        <v>567.20443969828284</v>
      </c>
      <c r="BX49">
        <f ca="1"/>
        <v>567.20443969828284</v>
      </c>
      <c r="BY49">
        <f ca="1"/>
        <v>567.20443969828284</v>
      </c>
      <c r="BZ49">
        <f ca="1"/>
        <v>567.20443969828284</v>
      </c>
      <c r="CA49">
        <f ca="1"/>
        <v>567.20443969828284</v>
      </c>
      <c r="CB49">
        <f ca="1"/>
        <v>567.20443969828284</v>
      </c>
      <c r="CC49">
        <f ca="1"/>
        <v>567.20443969828284</v>
      </c>
      <c r="CD49">
        <f ca="1"/>
        <v>567.20443969828284</v>
      </c>
      <c r="CE49">
        <f ca="1"/>
        <v>567.20443969828284</v>
      </c>
      <c r="CF49">
        <f ca="1"/>
        <v>567.20443969828284</v>
      </c>
      <c r="CG49">
        <f ca="1"/>
        <v>567.20443969828284</v>
      </c>
      <c r="CH49">
        <f ca="1"/>
        <v>567.20443969828284</v>
      </c>
      <c r="CI49">
        <f ca="1"/>
        <v>567.20443969828284</v>
      </c>
      <c r="CJ49">
        <f ca="1"/>
        <v>567.20443969828284</v>
      </c>
      <c r="CK49">
        <f ca="1"/>
        <v>567.20443969828284</v>
      </c>
      <c r="CL49">
        <f ca="1"/>
        <v>567.20443969828284</v>
      </c>
      <c r="CM49">
        <f ca="1"/>
        <v>567.20443969828284</v>
      </c>
      <c r="CN49">
        <f ca="1"/>
        <v>567.20443969828284</v>
      </c>
      <c r="CO49">
        <f ca="1"/>
        <v>567.20443969828284</v>
      </c>
      <c r="CP49">
        <f ca="1"/>
        <v>567.20443969828284</v>
      </c>
      <c r="CQ49">
        <f ca="1"/>
        <v>567.20443969828284</v>
      </c>
      <c r="CR49">
        <f ca="1"/>
        <v>567.20443969828284</v>
      </c>
      <c r="CS49">
        <f ca="1"/>
        <v>567.20443969828284</v>
      </c>
      <c r="CT49" t="str">
        <f ca="1"/>
        <v/>
      </c>
      <c r="DO49" s="281"/>
      <c r="DR49" s="73"/>
      <c r="EG49" s="281"/>
      <c r="EI49" s="85"/>
      <c r="EJ49" s="80"/>
      <c r="EK49" s="86"/>
      <c r="EL49" s="81"/>
      <c r="EM49" s="81"/>
      <c r="EN49" s="81"/>
      <c r="EO49" s="81"/>
      <c r="EP49" s="82"/>
      <c r="EQ49" s="87"/>
      <c r="ER49" s="97"/>
      <c r="ES49" s="88"/>
      <c r="FL49" s="281"/>
      <c r="FW49" s="281"/>
      <c r="GC49" s="281"/>
      <c r="GF49" s="129"/>
      <c r="GG49" s="129"/>
      <c r="GH49" s="128"/>
      <c r="GI49" s="128"/>
      <c r="GJ49" s="81"/>
      <c r="GK49" s="81"/>
      <c r="GL49" s="81"/>
      <c r="GM49" s="81"/>
      <c r="GN49" s="81"/>
      <c r="GO49" s="81"/>
      <c r="GP49" s="87"/>
      <c r="GQ49" s="87"/>
      <c r="GR49" s="97"/>
      <c r="GS49" s="97"/>
      <c r="GT49" s="88"/>
      <c r="GU49" s="88"/>
      <c r="GX49" s="17"/>
      <c r="GZ49" s="281"/>
      <c r="HB49" s="17"/>
      <c r="HN49" s="281"/>
      <c r="HP49" s="17"/>
      <c r="HY49" s="281"/>
    </row>
    <row r="50" spans="3:233" ht="15.6" thickTop="1" thickBot="1">
      <c r="C50" s="281"/>
      <c r="AC50" s="281"/>
      <c r="AE50" s="59" t="str">
        <f t="shared" si="14"/>
        <v>Residential Building - high density</v>
      </c>
      <c r="AF50" s="59" t="str">
        <f t="shared" si="22"/>
        <v>Vehicles</v>
      </c>
      <c r="AG50" s="60">
        <f t="shared" si="23"/>
        <v>46447</v>
      </c>
      <c r="AH50" s="79">
        <f ca="1">IFERROR(INDEX('Core Inputs Interface'!$1:$1048576,MATCH($AE50,'Core Inputs Interface'!$H:$H,0),MATCH($AG50,'Core Inputs Interface'!$17:$17,0)),"")</f>
        <v>702</v>
      </c>
      <c r="AI50" s="55">
        <f t="shared" si="8"/>
        <v>0</v>
      </c>
      <c r="AJ50" s="55">
        <f t="shared" si="1"/>
        <v>0.52451068102476561</v>
      </c>
      <c r="AK50" s="55">
        <f t="shared" si="2"/>
        <v>0.8</v>
      </c>
      <c r="AL50" s="55">
        <f t="shared" ca="1" si="9"/>
        <v>0.25</v>
      </c>
      <c r="AM50" s="65">
        <f t="shared" ca="1" si="3"/>
        <v>0</v>
      </c>
      <c r="AN50" s="66">
        <f t="shared" ca="1" si="4"/>
        <v>0</v>
      </c>
      <c r="AO50" s="56">
        <f t="shared" ca="1" si="10"/>
        <v>0</v>
      </c>
      <c r="AP50" t="str">
        <f t="shared" si="24"/>
        <v>Residential Building - high density_46447</v>
      </c>
      <c r="AQ50" t="str">
        <f t="shared" si="25"/>
        <v>Vehicles_46447</v>
      </c>
      <c r="AS50" s="281"/>
      <c r="AU50" s="68">
        <f t="shared" ref="AU50:AV71" ca="1" si="27">SUMIFS($AM:$AM,$AQ:$AQ,_xlfn.TEXTJOIN("_",,$AT50,AU$26))</f>
        <v>0</v>
      </c>
      <c r="AV50" s="68">
        <f t="shared" ca="1" si="27"/>
        <v>0</v>
      </c>
      <c r="AW50" s="68">
        <f t="shared" ca="1" si="26"/>
        <v>0</v>
      </c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O50" s="281"/>
      <c r="DR50" s="73"/>
      <c r="EG50" s="281"/>
      <c r="EI50" s="85"/>
      <c r="EJ50" s="80"/>
      <c r="EK50" s="86"/>
      <c r="EL50" s="81"/>
      <c r="EM50" s="81"/>
      <c r="EN50" s="81"/>
      <c r="EO50" s="81"/>
      <c r="EP50" s="82"/>
      <c r="EQ50" s="87"/>
      <c r="ER50" s="97"/>
      <c r="ES50" s="88"/>
      <c r="FL50" s="281"/>
      <c r="FW50" s="281"/>
      <c r="GC50" s="281"/>
      <c r="GF50" s="129"/>
      <c r="GG50" s="129"/>
      <c r="GH50" s="128"/>
      <c r="GI50" s="128"/>
      <c r="GJ50" s="81"/>
      <c r="GK50" s="81"/>
      <c r="GL50" s="81"/>
      <c r="GM50" s="81"/>
      <c r="GN50" s="81"/>
      <c r="GO50" s="81"/>
      <c r="GP50" s="87"/>
      <c r="GQ50" s="87"/>
      <c r="GR50" s="97"/>
      <c r="GS50" s="97"/>
      <c r="GT50" s="88"/>
      <c r="GU50" s="88"/>
      <c r="GX50" s="17"/>
      <c r="GZ50" s="281"/>
      <c r="HB50" s="17"/>
      <c r="HN50" s="281"/>
      <c r="HP50" s="17"/>
      <c r="HY50" s="281"/>
    </row>
    <row r="51" spans="3:233" ht="15.6" thickTop="1" thickBot="1">
      <c r="C51" s="281"/>
      <c r="AC51" s="281"/>
      <c r="AE51" s="59" t="str">
        <f>AE50</f>
        <v>Residential Building - high density</v>
      </c>
      <c r="AF51" s="59" t="str">
        <f t="shared" ref="AF51:AF52" si="28">AF29</f>
        <v>Machinery &amp; Equipment</v>
      </c>
      <c r="AG51" s="60">
        <f>AG50</f>
        <v>46447</v>
      </c>
      <c r="AH51" s="79">
        <f ca="1">IFERROR(INDEX('Core Inputs Interface'!$1:$1048576,MATCH($AE51,'Core Inputs Interface'!$H:$H,0),MATCH($AG51,'Core Inputs Interface'!$17:$17,0)),"")</f>
        <v>702</v>
      </c>
      <c r="AI51" s="55">
        <f t="shared" si="8"/>
        <v>0</v>
      </c>
      <c r="AJ51" s="55">
        <f t="shared" si="1"/>
        <v>0.39238740022595126</v>
      </c>
      <c r="AK51" s="55">
        <f t="shared" si="2"/>
        <v>0.8</v>
      </c>
      <c r="AL51" s="55">
        <f t="shared" ca="1" si="9"/>
        <v>0.25</v>
      </c>
      <c r="AM51" s="65">
        <f t="shared" ca="1" si="3"/>
        <v>0</v>
      </c>
      <c r="AN51" s="66">
        <f t="shared" ca="1" si="4"/>
        <v>0</v>
      </c>
      <c r="AO51" s="56">
        <f ca="1">IFERROR(AM51/AN51,0)</f>
        <v>0</v>
      </c>
      <c r="AP51" t="str">
        <f t="shared" si="24"/>
        <v>Residential Building - high density_46447</v>
      </c>
      <c r="AQ51" t="str">
        <f t="shared" si="25"/>
        <v>Machinery &amp; Equipment_46447</v>
      </c>
      <c r="AS51" s="281"/>
      <c r="AU51" s="68">
        <f t="shared" ca="1" si="27"/>
        <v>0</v>
      </c>
      <c r="AV51" s="68">
        <f t="shared" ca="1" si="27"/>
        <v>0</v>
      </c>
      <c r="AW51" s="68">
        <f t="shared" ca="1" si="26"/>
        <v>0</v>
      </c>
      <c r="AZ51" s="147" t="s">
        <v>62</v>
      </c>
      <c r="BA51" s="68" t="str" cm="1">
        <f t="array" aca="1" ref="BA51:CN51" ca="1">_xlfn.HSTACK(_xlfn._xlws.FILTER(_xlfn.ANCHORARRAY(BA42),_xlfn.ANCHORARRAY(BA43)&gt;0),_xlfn._xlws.FILTER(_xlfn.ANCHORARRAY(BA46),_xlfn.ANCHORARRAY(BA47)&gt;0))</f>
        <v>Plant and equipment</v>
      </c>
      <c r="BB51" s="68" t="str">
        <f ca="1"/>
        <v>Vehicles</v>
      </c>
      <c r="BC51" s="68" t="str">
        <f ca="1"/>
        <v>Structural steel</v>
      </c>
      <c r="BD51" s="68" t="str">
        <f ca="1"/>
        <v>Electrical wire</v>
      </c>
      <c r="BE51" s="68" t="str">
        <f ca="1"/>
        <v>Diesel</v>
      </c>
      <c r="BF51" s="68" t="str">
        <f ca="1"/>
        <v>Electrical equipment</v>
      </c>
      <c r="BG51" s="68" t="str">
        <f ca="1"/>
        <v>Water equipment</v>
      </c>
      <c r="BH51" s="68" t="str">
        <f ca="1"/>
        <v>Bitumen</v>
      </c>
      <c r="BI51" s="68" t="str">
        <f ca="1"/>
        <v>Interior</v>
      </c>
      <c r="BJ51" s="68" t="str">
        <f ca="1"/>
        <v>Firetrucks</v>
      </c>
      <c r="BK51" s="68" t="str">
        <f ca="1"/>
        <v>Glass</v>
      </c>
      <c r="BL51" s="68" t="str">
        <f ca="1"/>
        <v>Road equipment</v>
      </c>
      <c r="BM51" s="68" t="str">
        <f ca="1"/>
        <v>Reinforcing bar</v>
      </c>
      <c r="BN51" s="68" t="str">
        <f ca="1"/>
        <v>Polyethylene pipes</v>
      </c>
      <c r="BO51" s="68" t="str">
        <f ca="1"/>
        <v>Quarry Material</v>
      </c>
      <c r="BP51" s="68" t="str">
        <f ca="1"/>
        <v>Concrete</v>
      </c>
      <c r="BQ51" s="68" t="str">
        <f ca="1"/>
        <v>Wood</v>
      </c>
      <c r="BR51" s="68" t="str">
        <f ca="1"/>
        <v>Masonry</v>
      </c>
      <c r="BS51" s="68" t="str">
        <f ca="1"/>
        <v>Roofing</v>
      </c>
      <c r="BT51" s="68" t="str">
        <f ca="1"/>
        <v>Total</v>
      </c>
      <c r="BU51" s="68" t="str">
        <f ca="1"/>
        <v>Plant and equipment</v>
      </c>
      <c r="BV51" s="68" t="str">
        <f ca="1"/>
        <v>Vehicles</v>
      </c>
      <c r="BW51" s="68" t="str">
        <f ca="1"/>
        <v>Structural steel</v>
      </c>
      <c r="BX51" s="68" t="str">
        <f ca="1"/>
        <v>Electrical wire</v>
      </c>
      <c r="BY51" s="68" t="str">
        <f ca="1"/>
        <v>Diesel</v>
      </c>
      <c r="BZ51" s="68" t="str">
        <f ca="1"/>
        <v>Electrical equipment</v>
      </c>
      <c r="CA51" s="68" t="str">
        <f ca="1"/>
        <v>Water equipment</v>
      </c>
      <c r="CB51" s="68" t="str">
        <f ca="1"/>
        <v>Bitumen</v>
      </c>
      <c r="CC51" s="68" t="str">
        <f ca="1"/>
        <v>Interior</v>
      </c>
      <c r="CD51" s="68" t="str">
        <f ca="1"/>
        <v>Firetrucks</v>
      </c>
      <c r="CE51" s="68" t="str">
        <f ca="1"/>
        <v>Glass</v>
      </c>
      <c r="CF51" s="68" t="str">
        <f ca="1"/>
        <v>Road equipment</v>
      </c>
      <c r="CG51" s="68" t="str">
        <f ca="1"/>
        <v>Reinforcing bar</v>
      </c>
      <c r="CH51" s="68" t="str">
        <f ca="1"/>
        <v>Polyethylene pipes</v>
      </c>
      <c r="CI51" s="68" t="str">
        <f ca="1"/>
        <v>Quarry Material</v>
      </c>
      <c r="CJ51" s="68" t="str">
        <f ca="1"/>
        <v>Concrete</v>
      </c>
      <c r="CK51" s="68" t="str">
        <f ca="1"/>
        <v>Wood</v>
      </c>
      <c r="CL51" s="68" t="str">
        <f ca="1"/>
        <v>Masonry</v>
      </c>
      <c r="CM51" s="68" t="str">
        <f ca="1"/>
        <v>Roofing</v>
      </c>
      <c r="CN51" s="68" t="str">
        <f ca="1"/>
        <v>Total</v>
      </c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O51" s="281"/>
      <c r="DR51" s="73"/>
      <c r="EA51" s="74"/>
      <c r="EG51" s="281"/>
      <c r="EI51" s="85"/>
      <c r="EJ51" s="80"/>
      <c r="EK51" s="86"/>
      <c r="EL51" s="81"/>
      <c r="EM51" s="81"/>
      <c r="EN51" s="81"/>
      <c r="EO51" s="81"/>
      <c r="EP51" s="82"/>
      <c r="EQ51" s="87"/>
      <c r="ER51" s="97"/>
      <c r="ES51" s="88"/>
      <c r="FL51" s="281"/>
      <c r="FW51" s="281"/>
      <c r="GC51" s="281"/>
      <c r="GF51" s="129"/>
      <c r="GG51" s="129"/>
      <c r="GH51" s="128"/>
      <c r="GI51" s="128"/>
      <c r="GJ51" s="81"/>
      <c r="GK51" s="81"/>
      <c r="GL51" s="81"/>
      <c r="GM51" s="81"/>
      <c r="GN51" s="81"/>
      <c r="GO51" s="81"/>
      <c r="GP51" s="87"/>
      <c r="GQ51" s="87"/>
      <c r="GR51" s="97"/>
      <c r="GS51" s="97"/>
      <c r="GT51" s="88"/>
      <c r="GU51" s="88"/>
      <c r="GX51" s="17"/>
      <c r="GZ51" s="281"/>
      <c r="HB51" s="17"/>
      <c r="HN51" s="281"/>
      <c r="HP51" s="17"/>
      <c r="HY51" s="281"/>
    </row>
    <row r="52" spans="3:233" ht="15.6" thickTop="1" thickBot="1">
      <c r="C52" s="281"/>
      <c r="AC52" s="281"/>
      <c r="AE52" s="59" t="str">
        <f>AE51</f>
        <v>Residential Building - high density</v>
      </c>
      <c r="AF52" s="59" t="str">
        <f t="shared" si="28"/>
        <v>Office Equipment &amp; IT</v>
      </c>
      <c r="AG52" s="60">
        <f>AG51</f>
        <v>46447</v>
      </c>
      <c r="AH52" s="79">
        <f ca="1">IFERROR(INDEX('Core Inputs Interface'!$1:$1048576,MATCH($AE52,'Core Inputs Interface'!$H:$H,0),MATCH($AG52,'Core Inputs Interface'!$17:$17,0)),"")</f>
        <v>702</v>
      </c>
      <c r="AI52" s="55">
        <f t="shared" si="8"/>
        <v>0</v>
      </c>
      <c r="AJ52" s="55">
        <f t="shared" si="1"/>
        <v>0.15</v>
      </c>
      <c r="AK52" s="55">
        <f t="shared" si="2"/>
        <v>0.8</v>
      </c>
      <c r="AL52" s="55">
        <f t="shared" ca="1" si="9"/>
        <v>0.25</v>
      </c>
      <c r="AM52" s="65">
        <f t="shared" ca="1" si="3"/>
        <v>0</v>
      </c>
      <c r="AN52" s="66">
        <f t="shared" ca="1" si="4"/>
        <v>0</v>
      </c>
      <c r="AO52" s="56">
        <f ca="1">IFERROR(AM52/AN52,0)</f>
        <v>0</v>
      </c>
      <c r="AP52" t="str">
        <f t="shared" si="24"/>
        <v>Residential Building - high density_46447</v>
      </c>
      <c r="AQ52" t="str">
        <f t="shared" si="25"/>
        <v>Office Equipment &amp; IT_46447</v>
      </c>
      <c r="AS52" s="281"/>
      <c r="AU52" s="68">
        <f t="shared" ca="1" si="27"/>
        <v>0</v>
      </c>
      <c r="AV52" s="68">
        <f t="shared" ca="1" si="27"/>
        <v>0</v>
      </c>
      <c r="AW52" s="68">
        <f t="shared" ref="AW52:AW65" ca="1" si="29">SUM(AU52:AV52)</f>
        <v>0</v>
      </c>
      <c r="AZ52" s="148" t="s">
        <v>101</v>
      </c>
      <c r="BA52" s="68" cm="1">
        <f t="array" aca="1" ref="BA52:CN52" ca="1">_xlfn.HSTACK(_xlfn._xlws.FILTER(_xlfn.ANCHORARRAY(BA43),_xlfn.ANCHORARRAY($BA$43)&gt;0),_xlfn._xlws.FILTER(_xlfn.ANCHORARRAY(BA47),_xlfn.ANCHORARRAY($BA$47)&gt;0))</f>
        <v>137.45186617761667</v>
      </c>
      <c r="BB52" s="68">
        <f ca="1"/>
        <v>68.605997078039351</v>
      </c>
      <c r="BC52" s="68">
        <f ca="1"/>
        <v>61.679179814352814</v>
      </c>
      <c r="BD52" s="68">
        <f ca="1"/>
        <v>54.291777254095962</v>
      </c>
      <c r="BE52" s="68">
        <f ca="1"/>
        <v>39.067288019765911</v>
      </c>
      <c r="BF52" s="68">
        <f ca="1"/>
        <v>37.276972981637812</v>
      </c>
      <c r="BG52" s="68">
        <f ca="1"/>
        <v>35.34558357678717</v>
      </c>
      <c r="BH52" s="68">
        <f ca="1"/>
        <v>29.305574749720805</v>
      </c>
      <c r="BI52" s="68">
        <f ca="1"/>
        <v>16.429953656958126</v>
      </c>
      <c r="BJ52" s="68">
        <f ca="1"/>
        <v>11.040000000000001</v>
      </c>
      <c r="BK52" s="68">
        <f ca="1"/>
        <v>9.1761906143341889</v>
      </c>
      <c r="BL52" s="68">
        <f ca="1"/>
        <v>9.0545144783786036</v>
      </c>
      <c r="BM52" s="68">
        <f ca="1"/>
        <v>9.0497073472165734</v>
      </c>
      <c r="BN52" s="68">
        <f ca="1"/>
        <v>7.0588381337183499</v>
      </c>
      <c r="BO52" s="68">
        <f ca="1"/>
        <v>5.2729590150098256</v>
      </c>
      <c r="BP52" s="68">
        <f ca="1"/>
        <v>3.2820254029385283</v>
      </c>
      <c r="BQ52" s="68">
        <f ca="1"/>
        <v>2.4105859688589253</v>
      </c>
      <c r="BR52" s="68">
        <f ca="1"/>
        <v>1.7635736343917616</v>
      </c>
      <c r="BS52" s="68">
        <f ca="1"/>
        <v>1.4657218974820098E-2</v>
      </c>
      <c r="BT52" s="68">
        <f ca="1"/>
        <v>537.57724512279617</v>
      </c>
      <c r="BU52" s="68">
        <f ca="1"/>
        <v>143.01067413772742</v>
      </c>
      <c r="BV52" s="68">
        <f ca="1"/>
        <v>72.067767572802794</v>
      </c>
      <c r="BW52" s="68">
        <f ca="1"/>
        <v>66.324687867324741</v>
      </c>
      <c r="BX52" s="68">
        <f ca="1"/>
        <v>57.169933464263842</v>
      </c>
      <c r="BY52" s="68">
        <f ca="1"/>
        <v>40.908844600286223</v>
      </c>
      <c r="BZ52" s="68">
        <f ca="1"/>
        <v>37.8004141288855</v>
      </c>
      <c r="CA52" s="68">
        <f ca="1"/>
        <v>37.149823502476053</v>
      </c>
      <c r="CB52" s="68">
        <f ca="1"/>
        <v>30.798620496522361</v>
      </c>
      <c r="CC52" s="68">
        <f ca="1"/>
        <v>17.445829893433256</v>
      </c>
      <c r="CD52" s="68">
        <f ca="1"/>
        <v>14.880000000000003</v>
      </c>
      <c r="CE52" s="68">
        <f ca="1"/>
        <v>9.7132962783598433</v>
      </c>
      <c r="CF52" s="68">
        <f ca="1"/>
        <v>9.5499433772083968</v>
      </c>
      <c r="CG52" s="68">
        <f ca="1"/>
        <v>9.5158193477337107</v>
      </c>
      <c r="CH52" s="68">
        <f ca="1"/>
        <v>7.4232918915457802</v>
      </c>
      <c r="CI52" s="68">
        <f ca="1"/>
        <v>5.5416030903318543</v>
      </c>
      <c r="CJ52" s="68">
        <f ca="1"/>
        <v>3.450138922767942</v>
      </c>
      <c r="CK52" s="68">
        <f ca="1"/>
        <v>2.5764681658375044</v>
      </c>
      <c r="CL52" s="68">
        <f ca="1"/>
        <v>1.8617385684229428</v>
      </c>
      <c r="CM52" s="68">
        <f ca="1"/>
        <v>1.5544392352664489E-2</v>
      </c>
      <c r="CN52" s="68">
        <f ca="1"/>
        <v>567.20443969828284</v>
      </c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O52" s="281"/>
      <c r="DR52" s="73"/>
      <c r="EG52" s="281"/>
      <c r="EI52" s="85"/>
      <c r="EJ52" s="80"/>
      <c r="EK52" s="86"/>
      <c r="EL52" s="81"/>
      <c r="EM52" s="81"/>
      <c r="EN52" s="81"/>
      <c r="EO52" s="81"/>
      <c r="EP52" s="82"/>
      <c r="EQ52" s="87"/>
      <c r="ER52" s="97"/>
      <c r="ES52" s="88"/>
      <c r="FL52" s="281"/>
      <c r="FW52" s="281"/>
      <c r="GC52" s="281"/>
      <c r="GF52" s="129"/>
      <c r="GG52" s="129"/>
      <c r="GH52" s="128"/>
      <c r="GI52" s="128"/>
      <c r="GJ52" s="81"/>
      <c r="GK52" s="81"/>
      <c r="GL52" s="81"/>
      <c r="GM52" s="81"/>
      <c r="GN52" s="81"/>
      <c r="GO52" s="81"/>
      <c r="GP52" s="87"/>
      <c r="GQ52" s="87"/>
      <c r="GR52" s="97"/>
      <c r="GS52" s="97"/>
      <c r="GT52" s="88"/>
      <c r="GU52" s="88"/>
      <c r="GX52" s="17"/>
      <c r="GZ52" s="281"/>
      <c r="HB52" s="17"/>
      <c r="HN52" s="281"/>
      <c r="HP52" s="17"/>
      <c r="HY52" s="281"/>
    </row>
    <row r="53" spans="3:233" ht="15.6" thickTop="1" thickBot="1">
      <c r="C53" s="281"/>
      <c r="AC53" s="281"/>
      <c r="AD53">
        <f>AD9+1</f>
        <v>2</v>
      </c>
      <c r="AE53" s="57" t="str" cm="1">
        <f t="array" ref="AE53">INDEX($F$8:$Q$8,$AD53)</f>
        <v>Residential Building - medium density</v>
      </c>
      <c r="AF53" s="58" t="s">
        <v>66</v>
      </c>
      <c r="AG53" s="62">
        <v>46082</v>
      </c>
      <c r="AH53" s="79">
        <f ca="1">IFERROR(INDEX('Core Inputs Interface'!$1:$1048576,MATCH($AE53,'Core Inputs Interface'!$H:$H,0),MATCH($AG53,'Core Inputs Interface'!$17:$17,0)),"")</f>
        <v>136</v>
      </c>
      <c r="AI53" s="55">
        <f t="shared" si="8"/>
        <v>0.41499999999999998</v>
      </c>
      <c r="AJ53" s="55" t="str">
        <f t="shared" si="1"/>
        <v>N/A</v>
      </c>
      <c r="AK53" s="55" t="str">
        <f t="shared" si="2"/>
        <v>N/A</v>
      </c>
      <c r="AL53" s="55" t="str">
        <f t="shared" ca="1" si="9"/>
        <v>N/A</v>
      </c>
      <c r="AM53" s="65">
        <f t="shared" ca="1" si="3"/>
        <v>0</v>
      </c>
      <c r="AN53" s="66">
        <f t="shared" ca="1" si="4"/>
        <v>56.44</v>
      </c>
      <c r="AO53" s="56">
        <f ca="1">IFERROR(AM53/AN53,0)</f>
        <v>0</v>
      </c>
      <c r="AP53" t="str">
        <f t="shared" si="24"/>
        <v>Residential Building - medium density_46082</v>
      </c>
      <c r="AQ53" t="str">
        <f t="shared" si="25"/>
        <v>Labour_46082</v>
      </c>
      <c r="AS53" s="281"/>
      <c r="AU53" s="68">
        <f t="shared" ca="1" si="27"/>
        <v>0</v>
      </c>
      <c r="AV53" s="68">
        <f t="shared" ca="1" si="27"/>
        <v>0</v>
      </c>
      <c r="AW53" s="68">
        <f t="shared" ca="1" si="29"/>
        <v>0</v>
      </c>
      <c r="AZ53" s="148" t="s">
        <v>104</v>
      </c>
      <c r="BA53" s="68" cm="1">
        <f t="array" aca="1" ref="BA53:CN53" ca="1">_xlfn.HSTACK(_xlfn._xlws.FILTER(_xlfn.ANCHORARRAY(BA44),_xlfn.ANCHORARRAY($BA$43)&gt;0),_xlfn._xlws.FILTER(_xlfn.ANCHORARRAY(BA48),_xlfn.ANCHORARRAY($BA$47)&gt;0))</f>
        <v>0</v>
      </c>
      <c r="BB53" s="68">
        <f ca="1"/>
        <v>137.45186617761667</v>
      </c>
      <c r="BC53" s="68">
        <f ca="1"/>
        <v>206.057863255656</v>
      </c>
      <c r="BD53" s="68">
        <f ca="1"/>
        <v>267.73704307000884</v>
      </c>
      <c r="BE53" s="68">
        <f ca="1"/>
        <v>322.0288203241048</v>
      </c>
      <c r="BF53" s="68">
        <f ca="1"/>
        <v>361.0961083438707</v>
      </c>
      <c r="BG53" s="68">
        <f ca="1"/>
        <v>398.37308132550851</v>
      </c>
      <c r="BH53" s="68">
        <f ca="1"/>
        <v>433.7186649022957</v>
      </c>
      <c r="BI53" s="68">
        <f ca="1"/>
        <v>463.02423965201649</v>
      </c>
      <c r="BJ53" s="68">
        <f ca="1"/>
        <v>479.4541933089746</v>
      </c>
      <c r="BK53" s="68">
        <f ca="1"/>
        <v>490.49419330897462</v>
      </c>
      <c r="BL53" s="68">
        <f ca="1"/>
        <v>499.6703839233088</v>
      </c>
      <c r="BM53" s="68">
        <f ca="1"/>
        <v>508.72489840168743</v>
      </c>
      <c r="BN53" s="68">
        <f ca="1"/>
        <v>517.77460574890404</v>
      </c>
      <c r="BO53" s="68">
        <f ca="1"/>
        <v>524.83344388262242</v>
      </c>
      <c r="BP53" s="68">
        <f ca="1"/>
        <v>530.10640289763228</v>
      </c>
      <c r="BQ53" s="68">
        <f ca="1"/>
        <v>533.38842830057081</v>
      </c>
      <c r="BR53" s="68">
        <f ca="1"/>
        <v>535.79901426942979</v>
      </c>
      <c r="BS53" s="68">
        <f ca="1"/>
        <v>537.56258790382151</v>
      </c>
      <c r="BT53" s="68" t="str">
        <f ca="1"/>
        <v/>
      </c>
      <c r="BU53" s="68">
        <f ca="1"/>
        <v>0</v>
      </c>
      <c r="BV53" s="68">
        <f ca="1"/>
        <v>143.01067413772742</v>
      </c>
      <c r="BW53" s="68">
        <f ca="1"/>
        <v>215.07844171053023</v>
      </c>
      <c r="BX53" s="68">
        <f ca="1"/>
        <v>281.403129577855</v>
      </c>
      <c r="BY53" s="68">
        <f ca="1"/>
        <v>338.57306304211886</v>
      </c>
      <c r="BZ53" s="68">
        <f ca="1"/>
        <v>379.48190764240508</v>
      </c>
      <c r="CA53" s="68">
        <f ca="1"/>
        <v>417.28232177129058</v>
      </c>
      <c r="CB53" s="68">
        <f ca="1"/>
        <v>454.43214527376665</v>
      </c>
      <c r="CC53" s="68">
        <f ca="1"/>
        <v>485.230765770289</v>
      </c>
      <c r="CD53" s="68">
        <f ca="1"/>
        <v>502.67659566372225</v>
      </c>
      <c r="CE53" s="68">
        <f ca="1"/>
        <v>517.55659566372231</v>
      </c>
      <c r="CF53" s="68">
        <f ca="1"/>
        <v>527.26989194208215</v>
      </c>
      <c r="CG53" s="68">
        <f ca="1"/>
        <v>536.81983531929052</v>
      </c>
      <c r="CH53" s="68">
        <f ca="1"/>
        <v>546.33565466702419</v>
      </c>
      <c r="CI53" s="68">
        <f ca="1"/>
        <v>553.75894655856996</v>
      </c>
      <c r="CJ53" s="68">
        <f ca="1"/>
        <v>559.30054964890178</v>
      </c>
      <c r="CK53" s="68">
        <f ca="1"/>
        <v>562.75068857166968</v>
      </c>
      <c r="CL53" s="68">
        <f ca="1"/>
        <v>565.32715673750715</v>
      </c>
      <c r="CM53" s="68">
        <f ca="1"/>
        <v>567.18889530593015</v>
      </c>
      <c r="CN53" s="68" t="str">
        <f ca="1"/>
        <v/>
      </c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O53" s="281"/>
      <c r="DR53" s="73"/>
      <c r="EG53" s="281"/>
      <c r="EI53" s="85"/>
      <c r="EJ53" s="80"/>
      <c r="EK53" s="86"/>
      <c r="EL53" s="81"/>
      <c r="EM53" s="81"/>
      <c r="EN53" s="81"/>
      <c r="EO53" s="81"/>
      <c r="EP53" s="82"/>
      <c r="EQ53" s="87"/>
      <c r="ER53" s="97"/>
      <c r="ES53" s="88"/>
      <c r="FL53" s="281"/>
      <c r="FW53" s="281"/>
      <c r="GC53" s="281"/>
      <c r="GF53" s="129"/>
      <c r="GG53" s="129"/>
      <c r="GH53" s="128"/>
      <c r="GI53" s="128"/>
      <c r="GJ53" s="81"/>
      <c r="GK53" s="81"/>
      <c r="GL53" s="81"/>
      <c r="GM53" s="81"/>
      <c r="GN53" s="81"/>
      <c r="GO53" s="81"/>
      <c r="GP53" s="87"/>
      <c r="GQ53" s="87"/>
      <c r="GR53" s="97"/>
      <c r="GS53" s="97"/>
      <c r="GT53" s="88"/>
      <c r="GU53" s="88"/>
      <c r="GX53" s="17"/>
      <c r="GZ53" s="281"/>
      <c r="HB53" s="17"/>
      <c r="HN53" s="281"/>
      <c r="HP53" s="17"/>
      <c r="HY53" s="281"/>
    </row>
    <row r="54" spans="3:233" ht="15.6" thickTop="1" thickBot="1">
      <c r="C54" s="281"/>
      <c r="AC54" s="281"/>
      <c r="AE54" s="59" t="str">
        <f>AE53</f>
        <v>Residential Building - medium density</v>
      </c>
      <c r="AF54" s="58" t="s">
        <v>67</v>
      </c>
      <c r="AG54" s="60">
        <f>AG53</f>
        <v>46082</v>
      </c>
      <c r="AH54" s="79">
        <f ca="1">IFERROR(INDEX('Core Inputs Interface'!$1:$1048576,MATCH($AE54,'Core Inputs Interface'!$H:$H,0),MATCH($AG54,'Core Inputs Interface'!$17:$17,0)),"")</f>
        <v>136</v>
      </c>
      <c r="AI54" s="55">
        <f t="shared" si="8"/>
        <v>0</v>
      </c>
      <c r="AJ54" s="55" t="str">
        <f t="shared" si="1"/>
        <v>N/A</v>
      </c>
      <c r="AK54" s="55" t="str">
        <f t="shared" si="2"/>
        <v>N/A</v>
      </c>
      <c r="AL54" s="55" t="str">
        <f t="shared" ca="1" si="9"/>
        <v>N/A</v>
      </c>
      <c r="AM54" s="65">
        <f t="shared" ca="1" si="3"/>
        <v>0</v>
      </c>
      <c r="AN54" s="66">
        <f t="shared" ca="1" si="4"/>
        <v>0</v>
      </c>
      <c r="AO54" s="56">
        <f t="shared" ref="AO54:AO72" ca="1" si="30">IFERROR(AM54/AN54,0)</f>
        <v>0</v>
      </c>
      <c r="AP54" t="str">
        <f t="shared" si="24"/>
        <v>Residential Building - medium density_46082</v>
      </c>
      <c r="AQ54" t="str">
        <f t="shared" si="25"/>
        <v>Engineering design_46082</v>
      </c>
      <c r="AS54" s="281"/>
      <c r="AU54" s="68">
        <f t="shared" ca="1" si="27"/>
        <v>0</v>
      </c>
      <c r="AV54" s="68">
        <f t="shared" ca="1" si="27"/>
        <v>0</v>
      </c>
      <c r="AW54" s="68">
        <f t="shared" ca="1" si="29"/>
        <v>0</v>
      </c>
      <c r="AZ54" s="148" t="s">
        <v>76</v>
      </c>
      <c r="BA54" s="68" cm="1">
        <f t="array" aca="1" ref="BA54:CN54" ca="1">_xlfn.HSTACK(_xlfn._xlws.FILTER(_xlfn.ANCHORARRAY(BA45),_xlfn.ANCHORARRAY($BA$43)&gt;0),_xlfn._xlws.FILTER(_xlfn.ANCHORARRAY(BA49),_xlfn.ANCHORARRAY($BA$47)&gt;0))</f>
        <v>137.45186617761667</v>
      </c>
      <c r="BB54" s="68">
        <f ca="1"/>
        <v>206.057863255656</v>
      </c>
      <c r="BC54" s="68">
        <f ca="1"/>
        <v>267.73704307000884</v>
      </c>
      <c r="BD54" s="68">
        <f ca="1"/>
        <v>322.0288203241048</v>
      </c>
      <c r="BE54" s="68">
        <f ca="1"/>
        <v>361.0961083438707</v>
      </c>
      <c r="BF54" s="68">
        <f ca="1"/>
        <v>398.37308132550851</v>
      </c>
      <c r="BG54" s="68">
        <f ca="1"/>
        <v>433.7186649022957</v>
      </c>
      <c r="BH54" s="68">
        <f ca="1"/>
        <v>463.02423965201649</v>
      </c>
      <c r="BI54" s="68">
        <f ca="1"/>
        <v>479.4541933089746</v>
      </c>
      <c r="BJ54" s="68">
        <f ca="1"/>
        <v>490.49419330897462</v>
      </c>
      <c r="BK54" s="68">
        <f ca="1"/>
        <v>499.6703839233088</v>
      </c>
      <c r="BL54" s="68">
        <f ca="1"/>
        <v>508.72489840168743</v>
      </c>
      <c r="BM54" s="68">
        <f ca="1"/>
        <v>517.77460574890404</v>
      </c>
      <c r="BN54" s="68">
        <f ca="1"/>
        <v>524.83344388262242</v>
      </c>
      <c r="BO54" s="68">
        <f ca="1"/>
        <v>530.10640289763228</v>
      </c>
      <c r="BP54" s="68">
        <f ca="1"/>
        <v>533.38842830057081</v>
      </c>
      <c r="BQ54" s="68">
        <f ca="1"/>
        <v>535.79901426942979</v>
      </c>
      <c r="BR54" s="68">
        <f ca="1"/>
        <v>537.56258790382151</v>
      </c>
      <c r="BS54" s="68">
        <f ca="1"/>
        <v>537.57724512279628</v>
      </c>
      <c r="BT54" s="68" t="str">
        <f ca="1"/>
        <v/>
      </c>
      <c r="BU54" s="68">
        <f ca="1"/>
        <v>143.01067413772742</v>
      </c>
      <c r="BV54" s="68">
        <f ca="1"/>
        <v>215.07844171053023</v>
      </c>
      <c r="BW54" s="68">
        <f ca="1"/>
        <v>281.403129577855</v>
      </c>
      <c r="BX54" s="68">
        <f ca="1"/>
        <v>338.57306304211886</v>
      </c>
      <c r="BY54" s="68">
        <f ca="1"/>
        <v>379.48190764240508</v>
      </c>
      <c r="BZ54" s="68">
        <f ca="1"/>
        <v>417.28232177129058</v>
      </c>
      <c r="CA54" s="68">
        <f ca="1"/>
        <v>454.43214527376665</v>
      </c>
      <c r="CB54" s="68">
        <f ca="1"/>
        <v>485.230765770289</v>
      </c>
      <c r="CC54" s="68">
        <f ca="1"/>
        <v>502.67659566372225</v>
      </c>
      <c r="CD54" s="68">
        <f ca="1"/>
        <v>517.55659566372231</v>
      </c>
      <c r="CE54" s="68">
        <f ca="1"/>
        <v>527.26989194208215</v>
      </c>
      <c r="CF54" s="68">
        <f ca="1"/>
        <v>536.81983531929052</v>
      </c>
      <c r="CG54" s="68">
        <f ca="1"/>
        <v>546.33565466702419</v>
      </c>
      <c r="CH54" s="68">
        <f ca="1"/>
        <v>553.75894655856996</v>
      </c>
      <c r="CI54" s="68">
        <f ca="1"/>
        <v>559.30054964890178</v>
      </c>
      <c r="CJ54" s="68">
        <f ca="1"/>
        <v>562.75068857166968</v>
      </c>
      <c r="CK54" s="68">
        <f ca="1"/>
        <v>565.32715673750715</v>
      </c>
      <c r="CL54" s="68">
        <f ca="1"/>
        <v>567.18889530593015</v>
      </c>
      <c r="CM54" s="68">
        <f ca="1"/>
        <v>567.20443969828284</v>
      </c>
      <c r="CN54" s="68" t="str">
        <f ca="1"/>
        <v/>
      </c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O54" s="281"/>
      <c r="EG54" s="281"/>
      <c r="EI54" s="85"/>
      <c r="EJ54" s="80"/>
      <c r="EK54" s="86"/>
      <c r="EL54" s="81"/>
      <c r="EM54" s="81"/>
      <c r="EN54" s="81"/>
      <c r="EO54" s="81"/>
      <c r="EP54" s="82"/>
      <c r="EQ54" s="87"/>
      <c r="ER54" s="97"/>
      <c r="ES54" s="88"/>
      <c r="FL54" s="281"/>
      <c r="FW54" s="281"/>
      <c r="GC54" s="281"/>
      <c r="GF54" s="129"/>
      <c r="GG54" s="129"/>
      <c r="GH54" s="128"/>
      <c r="GI54" s="128"/>
      <c r="GJ54" s="81"/>
      <c r="GK54" s="81"/>
      <c r="GL54" s="81"/>
      <c r="GM54" s="81"/>
      <c r="GN54" s="81"/>
      <c r="GO54" s="81"/>
      <c r="GP54" s="87"/>
      <c r="GQ54" s="87"/>
      <c r="GR54" s="97"/>
      <c r="GS54" s="97"/>
      <c r="GT54" s="88"/>
      <c r="GU54" s="88"/>
      <c r="GX54" s="17"/>
      <c r="GZ54" s="281"/>
      <c r="HB54" s="17"/>
      <c r="HN54" s="281"/>
      <c r="HP54" s="17"/>
      <c r="HY54" s="281"/>
    </row>
    <row r="55" spans="3:233" ht="15.6" thickTop="1" thickBot="1">
      <c r="C55" s="281"/>
      <c r="AC55" s="281"/>
      <c r="AE55" s="59" t="str">
        <f t="shared" ref="AE55:AE94" si="31">AE54</f>
        <v>Residential Building - medium density</v>
      </c>
      <c r="AF55" s="58" t="s">
        <v>26</v>
      </c>
      <c r="AG55" s="60">
        <f t="shared" ref="AG55:AG72" si="32">AG54</f>
        <v>46082</v>
      </c>
      <c r="AH55" s="79">
        <f ca="1">IFERROR(INDEX('Core Inputs Interface'!$1:$1048576,MATCH($AE55,'Core Inputs Interface'!$H:$H,0),MATCH($AG55,'Core Inputs Interface'!$17:$17,0)),"")</f>
        <v>136</v>
      </c>
      <c r="AI55" s="55">
        <f t="shared" si="8"/>
        <v>0.03</v>
      </c>
      <c r="AJ55" s="55">
        <f t="shared" si="1"/>
        <v>8.4066217963502693E-2</v>
      </c>
      <c r="AK55" s="55">
        <f t="shared" si="2"/>
        <v>0.6</v>
      </c>
      <c r="AL55" s="55">
        <f t="shared" ca="1" si="9"/>
        <v>0.25</v>
      </c>
      <c r="AM55" s="65">
        <f t="shared" ca="1" si="3"/>
        <v>5.1448525393663645E-2</v>
      </c>
      <c r="AN55" s="66">
        <f t="shared" ca="1" si="4"/>
        <v>4.08</v>
      </c>
      <c r="AO55" s="56">
        <f t="shared" ca="1" si="30"/>
        <v>1.2609932694525403E-2</v>
      </c>
      <c r="AP55" t="str">
        <f t="shared" si="24"/>
        <v>Residential Building - medium density_46082</v>
      </c>
      <c r="AQ55" t="str">
        <f t="shared" si="25"/>
        <v>Reinforcing bar_46082</v>
      </c>
      <c r="AS55" s="281"/>
      <c r="AU55" s="68">
        <f t="shared" ca="1" si="27"/>
        <v>0</v>
      </c>
      <c r="AV55" s="68">
        <f t="shared" ca="1" si="27"/>
        <v>0</v>
      </c>
      <c r="AW55" s="68">
        <f t="shared" ca="1" si="29"/>
        <v>0</v>
      </c>
      <c r="AZ55" s="148" t="s">
        <v>114</v>
      </c>
      <c r="BA55" s="68" cm="1">
        <f t="array" aca="1" ref="BA55:CN55" ca="1">IF(_xlfn.ANCHORARRAY(BA51)&lt;&gt;"Total",_xlfn.ANCHORARRAY(BA52),"")</f>
        <v>137.45186617761667</v>
      </c>
      <c r="BB55" s="68">
        <f ca="1"/>
        <v>68.605997078039351</v>
      </c>
      <c r="BC55" s="68">
        <f ca="1"/>
        <v>61.679179814352814</v>
      </c>
      <c r="BD55" s="68">
        <f ca="1"/>
        <v>54.291777254095962</v>
      </c>
      <c r="BE55" s="68">
        <f ca="1"/>
        <v>39.067288019765911</v>
      </c>
      <c r="BF55" s="68">
        <f ca="1"/>
        <v>37.276972981637812</v>
      </c>
      <c r="BG55" s="68">
        <f ca="1"/>
        <v>35.34558357678717</v>
      </c>
      <c r="BH55" s="68">
        <f ca="1"/>
        <v>29.305574749720805</v>
      </c>
      <c r="BI55" s="68">
        <f ca="1"/>
        <v>16.429953656958126</v>
      </c>
      <c r="BJ55" s="68">
        <f ca="1"/>
        <v>11.040000000000001</v>
      </c>
      <c r="BK55" s="68">
        <f ca="1"/>
        <v>9.1761906143341889</v>
      </c>
      <c r="BL55" s="68">
        <f ca="1"/>
        <v>9.0545144783786036</v>
      </c>
      <c r="BM55" s="68">
        <f ca="1"/>
        <v>9.0497073472165734</v>
      </c>
      <c r="BN55" s="68">
        <f ca="1"/>
        <v>7.0588381337183499</v>
      </c>
      <c r="BO55" s="68">
        <f ca="1"/>
        <v>5.2729590150098256</v>
      </c>
      <c r="BP55" s="68">
        <f ca="1"/>
        <v>3.2820254029385283</v>
      </c>
      <c r="BQ55" s="68">
        <f ca="1"/>
        <v>2.4105859688589253</v>
      </c>
      <c r="BR55" s="68">
        <f ca="1"/>
        <v>1.7635736343917616</v>
      </c>
      <c r="BS55" s="68">
        <f ca="1"/>
        <v>1.4657218974820098E-2</v>
      </c>
      <c r="BT55" s="68" t="str">
        <f ca="1"/>
        <v/>
      </c>
      <c r="BU55" s="68">
        <f ca="1"/>
        <v>143.01067413772742</v>
      </c>
      <c r="BV55" s="68">
        <f ca="1"/>
        <v>72.067767572802794</v>
      </c>
      <c r="BW55" s="68">
        <f ca="1"/>
        <v>66.324687867324741</v>
      </c>
      <c r="BX55" s="68">
        <f ca="1"/>
        <v>57.169933464263842</v>
      </c>
      <c r="BY55" s="68">
        <f ca="1"/>
        <v>40.908844600286223</v>
      </c>
      <c r="BZ55" s="68">
        <f ca="1"/>
        <v>37.8004141288855</v>
      </c>
      <c r="CA55" s="68">
        <f ca="1"/>
        <v>37.149823502476053</v>
      </c>
      <c r="CB55" s="68">
        <f ca="1"/>
        <v>30.798620496522361</v>
      </c>
      <c r="CC55" s="68">
        <f ca="1"/>
        <v>17.445829893433256</v>
      </c>
      <c r="CD55" s="68">
        <f ca="1"/>
        <v>14.880000000000003</v>
      </c>
      <c r="CE55" s="68">
        <f ca="1"/>
        <v>9.7132962783598433</v>
      </c>
      <c r="CF55" s="68">
        <f ca="1"/>
        <v>9.5499433772083968</v>
      </c>
      <c r="CG55" s="68">
        <f ca="1"/>
        <v>9.5158193477337107</v>
      </c>
      <c r="CH55" s="68">
        <f ca="1"/>
        <v>7.4232918915457802</v>
      </c>
      <c r="CI55" s="68">
        <f ca="1"/>
        <v>5.5416030903318543</v>
      </c>
      <c r="CJ55" s="68">
        <f ca="1"/>
        <v>3.450138922767942</v>
      </c>
      <c r="CK55" s="68">
        <f ca="1"/>
        <v>2.5764681658375044</v>
      </c>
      <c r="CL55" s="68">
        <f ca="1"/>
        <v>1.8617385684229428</v>
      </c>
      <c r="CM55" s="68">
        <f ca="1"/>
        <v>1.5544392352664489E-2</v>
      </c>
      <c r="CN55" s="68" t="str">
        <f ca="1"/>
        <v/>
      </c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O55" s="281"/>
      <c r="EG55" s="281"/>
      <c r="EI55" s="85"/>
      <c r="EJ55" s="80"/>
      <c r="EK55" s="86"/>
      <c r="EL55" s="81"/>
      <c r="EM55" s="81"/>
      <c r="EN55" s="81"/>
      <c r="EO55" s="81"/>
      <c r="EP55" s="82"/>
      <c r="EQ55" s="87"/>
      <c r="ER55" s="97"/>
      <c r="ES55" s="88"/>
      <c r="FL55" s="281"/>
      <c r="FW55" s="281"/>
      <c r="GC55" s="281"/>
      <c r="GF55" s="129"/>
      <c r="GG55" s="129"/>
      <c r="GH55" s="128"/>
      <c r="GI55" s="128"/>
      <c r="GJ55" s="81"/>
      <c r="GK55" s="81"/>
      <c r="GL55" s="81"/>
      <c r="GM55" s="81"/>
      <c r="GN55" s="81"/>
      <c r="GO55" s="81"/>
      <c r="GP55" s="87"/>
      <c r="GQ55" s="87"/>
      <c r="GR55" s="97"/>
      <c r="GS55" s="97"/>
      <c r="GT55" s="88"/>
      <c r="GU55" s="88"/>
      <c r="GX55" s="17"/>
      <c r="GZ55" s="281"/>
      <c r="HB55" s="17"/>
      <c r="HN55" s="281"/>
      <c r="HP55" s="17"/>
      <c r="HY55" s="281"/>
    </row>
    <row r="56" spans="3:233" ht="15.6" thickTop="1" thickBot="1">
      <c r="C56" s="281"/>
      <c r="AC56" s="281"/>
      <c r="AE56" s="59" t="str">
        <f t="shared" si="31"/>
        <v>Residential Building - medium density</v>
      </c>
      <c r="AF56" s="58" t="s">
        <v>27</v>
      </c>
      <c r="AG56" s="60">
        <f t="shared" si="32"/>
        <v>46082</v>
      </c>
      <c r="AH56" s="79">
        <f ca="1">IFERROR(INDEX('Core Inputs Interface'!$1:$1048576,MATCH($AE56,'Core Inputs Interface'!$H:$H,0),MATCH($AG56,'Core Inputs Interface'!$17:$17,0)),"")</f>
        <v>136</v>
      </c>
      <c r="AI56" s="55">
        <f t="shared" si="8"/>
        <v>0.02</v>
      </c>
      <c r="AJ56" s="55">
        <f t="shared" si="1"/>
        <v>0.52500514810102583</v>
      </c>
      <c r="AK56" s="55">
        <f t="shared" si="2"/>
        <v>0.6</v>
      </c>
      <c r="AL56" s="55">
        <f t="shared" ca="1" si="9"/>
        <v>0.25</v>
      </c>
      <c r="AM56" s="65">
        <f t="shared" ca="1" si="3"/>
        <v>0.21420210042521853</v>
      </c>
      <c r="AN56" s="66">
        <f t="shared" ca="1" si="4"/>
        <v>2.72</v>
      </c>
      <c r="AO56" s="56">
        <f t="shared" ca="1" si="30"/>
        <v>7.8750772215153864E-2</v>
      </c>
      <c r="AP56" t="str">
        <f t="shared" si="24"/>
        <v>Residential Building - medium density_46082</v>
      </c>
      <c r="AQ56" t="str">
        <f t="shared" si="25"/>
        <v>Structural steel_46082</v>
      </c>
      <c r="AS56" s="281"/>
      <c r="AU56" s="68">
        <f t="shared" ca="1" si="27"/>
        <v>0</v>
      </c>
      <c r="AV56" s="68">
        <f t="shared" ca="1" si="27"/>
        <v>0</v>
      </c>
      <c r="AW56" s="68">
        <f t="shared" ca="1" si="29"/>
        <v>0</v>
      </c>
      <c r="AZ56" s="150" t="s">
        <v>76</v>
      </c>
      <c r="BA56" s="68" t="str" cm="1">
        <f t="array" aca="1" ref="BA56:CN56" ca="1">IF(_xlfn.ANCHORARRAY(BA51)="Total",_xlfn.ANCHORARRAY(BA52),"")</f>
        <v/>
      </c>
      <c r="BB56" s="68" t="str">
        <f ca="1"/>
        <v/>
      </c>
      <c r="BC56" s="68" t="str">
        <f ca="1"/>
        <v/>
      </c>
      <c r="BD56" s="68" t="str">
        <f ca="1"/>
        <v/>
      </c>
      <c r="BE56" s="68" t="str">
        <f ca="1"/>
        <v/>
      </c>
      <c r="BF56" s="68" t="str">
        <f ca="1"/>
        <v/>
      </c>
      <c r="BG56" s="68" t="str">
        <f ca="1"/>
        <v/>
      </c>
      <c r="BH56" s="68" t="str">
        <f ca="1"/>
        <v/>
      </c>
      <c r="BI56" s="68" t="str">
        <f ca="1"/>
        <v/>
      </c>
      <c r="BJ56" s="68" t="str">
        <f ca="1"/>
        <v/>
      </c>
      <c r="BK56" s="68" t="str">
        <f ca="1"/>
        <v/>
      </c>
      <c r="BL56" s="68" t="str">
        <f ca="1"/>
        <v/>
      </c>
      <c r="BM56" s="68" t="str">
        <f ca="1"/>
        <v/>
      </c>
      <c r="BN56" s="68" t="str">
        <f ca="1"/>
        <v/>
      </c>
      <c r="BO56" s="68" t="str">
        <f ca="1"/>
        <v/>
      </c>
      <c r="BP56" s="68" t="str">
        <f ca="1"/>
        <v/>
      </c>
      <c r="BQ56" s="68" t="str">
        <f ca="1"/>
        <v/>
      </c>
      <c r="BR56" s="68" t="str">
        <f ca="1"/>
        <v/>
      </c>
      <c r="BS56" s="68" t="str">
        <f ca="1"/>
        <v/>
      </c>
      <c r="BT56" s="68">
        <f ca="1"/>
        <v>537.57724512279617</v>
      </c>
      <c r="BU56" s="68" t="str">
        <f ca="1"/>
        <v/>
      </c>
      <c r="BV56" s="68" t="str">
        <f ca="1"/>
        <v/>
      </c>
      <c r="BW56" s="68" t="str">
        <f ca="1"/>
        <v/>
      </c>
      <c r="BX56" s="68" t="str">
        <f ca="1"/>
        <v/>
      </c>
      <c r="BY56" s="68" t="str">
        <f ca="1"/>
        <v/>
      </c>
      <c r="BZ56" s="68" t="str">
        <f ca="1"/>
        <v/>
      </c>
      <c r="CA56" s="68" t="str">
        <f ca="1"/>
        <v/>
      </c>
      <c r="CB56" s="68" t="str">
        <f ca="1"/>
        <v/>
      </c>
      <c r="CC56" s="68" t="str">
        <f ca="1"/>
        <v/>
      </c>
      <c r="CD56" s="68" t="str">
        <f ca="1"/>
        <v/>
      </c>
      <c r="CE56" s="68" t="str">
        <f ca="1"/>
        <v/>
      </c>
      <c r="CF56" s="68" t="str">
        <f ca="1"/>
        <v/>
      </c>
      <c r="CG56" s="68" t="str">
        <f ca="1"/>
        <v/>
      </c>
      <c r="CH56" s="68" t="str">
        <f ca="1"/>
        <v/>
      </c>
      <c r="CI56" s="68" t="str">
        <f ca="1"/>
        <v/>
      </c>
      <c r="CJ56" s="68" t="str">
        <f ca="1"/>
        <v/>
      </c>
      <c r="CK56" s="68" t="str">
        <f ca="1"/>
        <v/>
      </c>
      <c r="CL56" s="68" t="str">
        <f ca="1"/>
        <v/>
      </c>
      <c r="CM56" t="str">
        <f ca="1"/>
        <v/>
      </c>
      <c r="CN56">
        <f ca="1"/>
        <v>567.20443969828284</v>
      </c>
      <c r="DO56" s="281"/>
      <c r="EG56" s="281"/>
      <c r="EI56" s="85"/>
      <c r="EJ56" s="80"/>
      <c r="EK56" s="86"/>
      <c r="EL56" s="81"/>
      <c r="EM56" s="81"/>
      <c r="EN56" s="81"/>
      <c r="EO56" s="81"/>
      <c r="EP56" s="82"/>
      <c r="EQ56" s="87"/>
      <c r="ER56" s="97"/>
      <c r="ES56" s="88"/>
      <c r="FL56" s="281"/>
      <c r="FW56" s="281"/>
      <c r="GC56" s="281"/>
      <c r="GF56" s="129"/>
      <c r="GG56" s="129"/>
      <c r="GH56" s="128"/>
      <c r="GI56" s="128"/>
      <c r="GJ56" s="81"/>
      <c r="GK56" s="81"/>
      <c r="GL56" s="81"/>
      <c r="GM56" s="81"/>
      <c r="GN56" s="81"/>
      <c r="GO56" s="81"/>
      <c r="GP56" s="87"/>
      <c r="GQ56" s="87"/>
      <c r="GR56" s="97"/>
      <c r="GS56" s="97"/>
      <c r="GT56" s="88"/>
      <c r="GU56" s="88"/>
      <c r="GX56" s="17"/>
      <c r="GZ56" s="281"/>
      <c r="HB56" s="17"/>
      <c r="HN56" s="281"/>
      <c r="HP56" s="17"/>
      <c r="HY56" s="281"/>
    </row>
    <row r="57" spans="3:233" ht="15.6" thickTop="1" thickBot="1">
      <c r="C57" s="281"/>
      <c r="AC57" s="281"/>
      <c r="AE57" s="59" t="str">
        <f t="shared" si="31"/>
        <v>Residential Building - medium density</v>
      </c>
      <c r="AF57" s="58" t="s">
        <v>28</v>
      </c>
      <c r="AG57" s="60">
        <f t="shared" si="32"/>
        <v>46082</v>
      </c>
      <c r="AH57" s="79">
        <f ca="1">IFERROR(INDEX('Core Inputs Interface'!$1:$1048576,MATCH($AE57,'Core Inputs Interface'!$H:$H,0),MATCH($AG57,'Core Inputs Interface'!$17:$17,0)),"")</f>
        <v>136</v>
      </c>
      <c r="AI57" s="55">
        <f t="shared" si="8"/>
        <v>0</v>
      </c>
      <c r="AJ57" s="55">
        <f t="shared" si="1"/>
        <v>9.1004090556242881E-2</v>
      </c>
      <c r="AK57" s="55">
        <f t="shared" si="2"/>
        <v>0.6</v>
      </c>
      <c r="AL57" s="55">
        <f t="shared" ca="1" si="9"/>
        <v>0.25</v>
      </c>
      <c r="AM57" s="65">
        <f t="shared" ca="1" si="3"/>
        <v>0</v>
      </c>
      <c r="AN57" s="66">
        <f t="shared" ca="1" si="4"/>
        <v>0</v>
      </c>
      <c r="AO57" s="56">
        <f t="shared" ca="1" si="30"/>
        <v>0</v>
      </c>
      <c r="AP57" t="str">
        <f t="shared" si="24"/>
        <v>Residential Building - medium density_46082</v>
      </c>
      <c r="AQ57" t="str">
        <f t="shared" si="25"/>
        <v>Quarry Material_46082</v>
      </c>
      <c r="AS57" s="281"/>
      <c r="AU57" s="68">
        <f t="shared" ca="1" si="27"/>
        <v>0</v>
      </c>
      <c r="AV57" s="68">
        <f t="shared" ca="1" si="27"/>
        <v>0</v>
      </c>
      <c r="AW57" s="68">
        <f t="shared" ca="1" si="29"/>
        <v>0</v>
      </c>
      <c r="DO57" s="281"/>
      <c r="EG57" s="281"/>
      <c r="EI57" s="85"/>
      <c r="EJ57" s="80"/>
      <c r="EK57" s="86"/>
      <c r="EL57" s="81"/>
      <c r="EM57" s="81"/>
      <c r="EN57" s="81"/>
      <c r="EO57" s="81"/>
      <c r="EP57" s="82"/>
      <c r="EQ57" s="87"/>
      <c r="ER57" s="97"/>
      <c r="ES57" s="88"/>
      <c r="FL57" s="281"/>
      <c r="FW57" s="281"/>
      <c r="GC57" s="281"/>
      <c r="GF57" s="129"/>
      <c r="GG57" s="129"/>
      <c r="GH57" s="128"/>
      <c r="GI57" s="128"/>
      <c r="GJ57" s="81"/>
      <c r="GK57" s="81"/>
      <c r="GL57" s="81"/>
      <c r="GM57" s="81"/>
      <c r="GN57" s="81"/>
      <c r="GO57" s="81"/>
      <c r="GP57" s="87"/>
      <c r="GQ57" s="87"/>
      <c r="GR57" s="97"/>
      <c r="GS57" s="97"/>
      <c r="GT57" s="88"/>
      <c r="GU57" s="88"/>
      <c r="GX57" s="17"/>
      <c r="GZ57" s="281"/>
      <c r="HB57" s="17"/>
      <c r="HN57" s="281"/>
      <c r="HP57" s="17"/>
      <c r="HY57" s="281"/>
    </row>
    <row r="58" spans="3:233" ht="15.6" thickTop="1" thickBot="1">
      <c r="C58" s="281"/>
      <c r="AC58" s="281"/>
      <c r="AE58" s="59" t="str">
        <f t="shared" si="31"/>
        <v>Residential Building - medium density</v>
      </c>
      <c r="AF58" s="58" t="s">
        <v>30</v>
      </c>
      <c r="AG58" s="60">
        <f t="shared" si="32"/>
        <v>46082</v>
      </c>
      <c r="AH58" s="79">
        <f ca="1">IFERROR(INDEX('Core Inputs Interface'!$1:$1048576,MATCH($AE58,'Core Inputs Interface'!$H:$H,0),MATCH($AG58,'Core Inputs Interface'!$17:$17,0)),"")</f>
        <v>136</v>
      </c>
      <c r="AI58" s="55">
        <f t="shared" si="8"/>
        <v>0.04</v>
      </c>
      <c r="AJ58" s="55">
        <f t="shared" si="1"/>
        <v>1.1472584695084088E-2</v>
      </c>
      <c r="AK58" s="55">
        <f t="shared" si="2"/>
        <v>0.6</v>
      </c>
      <c r="AL58" s="55">
        <f t="shared" ca="1" si="9"/>
        <v>0.25</v>
      </c>
      <c r="AM58" s="65">
        <f t="shared" ca="1" si="3"/>
        <v>9.3616291111886154E-3</v>
      </c>
      <c r="AN58" s="66">
        <f t="shared" ca="1" si="4"/>
        <v>5.44</v>
      </c>
      <c r="AO58" s="56">
        <f t="shared" ca="1" si="30"/>
        <v>1.720887704262613E-3</v>
      </c>
      <c r="AP58" t="str">
        <f t="shared" si="24"/>
        <v>Residential Building - medium density_46082</v>
      </c>
      <c r="AQ58" t="str">
        <f t="shared" si="25"/>
        <v>Concrete_46082</v>
      </c>
      <c r="AS58" s="281"/>
      <c r="AU58" s="68">
        <f t="shared" ca="1" si="27"/>
        <v>0</v>
      </c>
      <c r="AV58" s="68">
        <f t="shared" ca="1" si="27"/>
        <v>0</v>
      </c>
      <c r="AW58" s="68">
        <f t="shared" ref="AW58:AW64" ca="1" si="33">SUM(AU58:AV58)</f>
        <v>0</v>
      </c>
      <c r="DO58" s="281"/>
      <c r="EG58" s="281"/>
      <c r="EI58" s="85"/>
      <c r="EJ58" s="80"/>
      <c r="EK58" s="86"/>
      <c r="EL58" s="81"/>
      <c r="EM58" s="81"/>
      <c r="EN58" s="81"/>
      <c r="EO58" s="81"/>
      <c r="EP58" s="82"/>
      <c r="EQ58" s="87"/>
      <c r="ER58" s="97"/>
      <c r="ES58" s="88"/>
      <c r="FL58" s="281"/>
      <c r="FW58" s="281"/>
      <c r="GC58" s="281"/>
      <c r="GF58" s="129"/>
      <c r="GG58" s="129"/>
      <c r="GH58" s="128"/>
      <c r="GI58" s="128"/>
      <c r="GJ58" s="81"/>
      <c r="GK58" s="81"/>
      <c r="GL58" s="81"/>
      <c r="GM58" s="81"/>
      <c r="GN58" s="81"/>
      <c r="GO58" s="81"/>
      <c r="GP58" s="87"/>
      <c r="GQ58" s="87"/>
      <c r="GR58" s="97"/>
      <c r="GS58" s="97"/>
      <c r="GT58" s="88"/>
      <c r="GU58" s="88"/>
      <c r="GX58" s="17"/>
      <c r="GZ58" s="281"/>
      <c r="HB58" s="17"/>
      <c r="HN58" s="281"/>
      <c r="HP58" s="17"/>
      <c r="HY58" s="281"/>
    </row>
    <row r="59" spans="3:233" ht="15.6" thickTop="1" thickBot="1">
      <c r="C59" s="281"/>
      <c r="AC59" s="281"/>
      <c r="AE59" s="59" t="str">
        <f t="shared" si="31"/>
        <v>Residential Building - medium density</v>
      </c>
      <c r="AF59" s="57" t="s">
        <v>32</v>
      </c>
      <c r="AG59" s="60">
        <f t="shared" si="32"/>
        <v>46082</v>
      </c>
      <c r="AH59" s="79">
        <f ca="1">IFERROR(INDEX('Core Inputs Interface'!$1:$1048576,MATCH($AE59,'Core Inputs Interface'!$H:$H,0),MATCH($AG59,'Core Inputs Interface'!$17:$17,0)),"")</f>
        <v>136</v>
      </c>
      <c r="AI59" s="55">
        <f t="shared" si="8"/>
        <v>0.02</v>
      </c>
      <c r="AJ59" s="55">
        <f t="shared" si="1"/>
        <v>9.8410961434768088E-2</v>
      </c>
      <c r="AK59" s="55">
        <f t="shared" si="2"/>
        <v>0.6</v>
      </c>
      <c r="AL59" s="55">
        <f t="shared" ca="1" si="9"/>
        <v>0.25</v>
      </c>
      <c r="AM59" s="65">
        <f t="shared" ca="1" si="3"/>
        <v>4.015167226538538E-2</v>
      </c>
      <c r="AN59" s="66">
        <f t="shared" ca="1" si="4"/>
        <v>2.72</v>
      </c>
      <c r="AO59" s="56">
        <f t="shared" ca="1" si="30"/>
        <v>1.4761644215215213E-2</v>
      </c>
      <c r="AP59" t="str">
        <f t="shared" si="24"/>
        <v>Residential Building - medium density_46082</v>
      </c>
      <c r="AQ59" t="str">
        <f t="shared" si="25"/>
        <v>Masonry_46082</v>
      </c>
      <c r="AS59" s="281"/>
      <c r="AU59" s="68">
        <f t="shared" ca="1" si="27"/>
        <v>0</v>
      </c>
      <c r="AV59" s="68">
        <f t="shared" ca="1" si="27"/>
        <v>0</v>
      </c>
      <c r="AW59" s="68">
        <f t="shared" ca="1" si="33"/>
        <v>0</v>
      </c>
      <c r="DO59" s="281"/>
      <c r="EG59" s="281"/>
      <c r="EI59" s="85"/>
      <c r="EJ59" s="80"/>
      <c r="EK59" s="86"/>
      <c r="EL59" s="81"/>
      <c r="EM59" s="81"/>
      <c r="EN59" s="81"/>
      <c r="EO59" s="81"/>
      <c r="EP59" s="82"/>
      <c r="EQ59" s="87"/>
      <c r="ER59" s="97"/>
      <c r="ES59" s="88"/>
      <c r="FL59" s="281"/>
      <c r="FW59" s="281"/>
      <c r="GC59" s="281"/>
      <c r="GF59" s="129"/>
      <c r="GG59" s="129"/>
      <c r="GH59" s="128"/>
      <c r="GI59" s="128"/>
      <c r="GJ59" s="81"/>
      <c r="GK59" s="81"/>
      <c r="GL59" s="81"/>
      <c r="GM59" s="81"/>
      <c r="GN59" s="81"/>
      <c r="GO59" s="81"/>
      <c r="GP59" s="87"/>
      <c r="GQ59" s="87"/>
      <c r="GR59" s="97"/>
      <c r="GS59" s="97"/>
      <c r="GT59" s="88"/>
      <c r="GU59" s="88"/>
      <c r="GX59" s="17"/>
      <c r="GZ59" s="281"/>
      <c r="HB59" s="17"/>
      <c r="HN59" s="281"/>
      <c r="HP59" s="17"/>
      <c r="HY59" s="281"/>
    </row>
    <row r="60" spans="3:233" ht="15.6" thickTop="1" thickBot="1">
      <c r="C60" s="281"/>
      <c r="AC60" s="281"/>
      <c r="AE60" s="59" t="str">
        <f t="shared" si="31"/>
        <v>Residential Building - medium density</v>
      </c>
      <c r="AF60" s="57" t="s">
        <v>34</v>
      </c>
      <c r="AG60" s="60">
        <f t="shared" si="32"/>
        <v>46082</v>
      </c>
      <c r="AH60" s="79">
        <f ca="1">IFERROR(INDEX('Core Inputs Interface'!$1:$1048576,MATCH($AE60,'Core Inputs Interface'!$H:$H,0),MATCH($AG60,'Core Inputs Interface'!$17:$17,0)),"")</f>
        <v>136</v>
      </c>
      <c r="AI60" s="55">
        <f t="shared" si="8"/>
        <v>0.18</v>
      </c>
      <c r="AJ60" s="55">
        <f t="shared" si="1"/>
        <v>0.13840817436677436</v>
      </c>
      <c r="AK60" s="55">
        <f t="shared" si="2"/>
        <v>0.6</v>
      </c>
      <c r="AL60" s="55">
        <f t="shared" ca="1" si="9"/>
        <v>0.25</v>
      </c>
      <c r="AM60" s="65">
        <f t="shared" ca="1" si="3"/>
        <v>0.50823481627479539</v>
      </c>
      <c r="AN60" s="66">
        <f t="shared" ca="1" si="4"/>
        <v>24.48</v>
      </c>
      <c r="AO60" s="56">
        <f t="shared" ca="1" si="30"/>
        <v>2.076122615501615E-2</v>
      </c>
      <c r="AP60" t="str">
        <f t="shared" si="24"/>
        <v>Residential Building - medium density_46082</v>
      </c>
      <c r="AQ60" t="str">
        <f t="shared" si="25"/>
        <v>Wood_46082</v>
      </c>
      <c r="AS60" s="281"/>
      <c r="AU60" s="68">
        <f t="shared" ca="1" si="27"/>
        <v>0</v>
      </c>
      <c r="AV60" s="68">
        <f t="shared" ca="1" si="27"/>
        <v>0</v>
      </c>
      <c r="AW60" s="68">
        <f t="shared" ca="1" si="33"/>
        <v>0</v>
      </c>
      <c r="DO60" s="281"/>
      <c r="EG60" s="281"/>
      <c r="EI60" s="85"/>
      <c r="EJ60" s="80"/>
      <c r="EK60" s="86"/>
      <c r="EL60" s="81"/>
      <c r="EM60" s="81"/>
      <c r="EN60" s="81"/>
      <c r="EO60" s="81"/>
      <c r="EP60" s="82"/>
      <c r="EQ60" s="87"/>
      <c r="ER60" s="97"/>
      <c r="ES60" s="88"/>
      <c r="FL60" s="281"/>
      <c r="FW60" s="281"/>
      <c r="GC60" s="281"/>
      <c r="GF60" s="129"/>
      <c r="GG60" s="129"/>
      <c r="GH60" s="128"/>
      <c r="GI60" s="128"/>
      <c r="GJ60" s="81"/>
      <c r="GK60" s="81"/>
      <c r="GL60" s="81"/>
      <c r="GM60" s="81"/>
      <c r="GN60" s="81"/>
      <c r="GO60" s="81"/>
      <c r="GP60" s="87"/>
      <c r="GQ60" s="87"/>
      <c r="GR60" s="97"/>
      <c r="GS60" s="97"/>
      <c r="GT60" s="88"/>
      <c r="GU60" s="88"/>
      <c r="GX60" s="17"/>
      <c r="GZ60" s="281"/>
      <c r="HB60" s="17"/>
      <c r="HN60" s="281"/>
      <c r="HP60" s="17"/>
      <c r="HY60" s="281"/>
    </row>
    <row r="61" spans="3:233" ht="15.6" thickTop="1" thickBot="1">
      <c r="C61" s="281"/>
      <c r="AC61" s="281"/>
      <c r="AE61" s="59" t="str">
        <f t="shared" si="31"/>
        <v>Residential Building - medium density</v>
      </c>
      <c r="AF61" s="57" t="s">
        <v>36</v>
      </c>
      <c r="AG61" s="60">
        <f t="shared" si="32"/>
        <v>46082</v>
      </c>
      <c r="AH61" s="79">
        <f ca="1">IFERROR(INDEX('Core Inputs Interface'!$1:$1048576,MATCH($AE61,'Core Inputs Interface'!$H:$H,0),MATCH($AG61,'Core Inputs Interface'!$17:$17,0)),"")</f>
        <v>136</v>
      </c>
      <c r="AI61" s="55">
        <f t="shared" si="8"/>
        <v>0.02</v>
      </c>
      <c r="AJ61" s="55">
        <f t="shared" si="1"/>
        <v>0.80654510583379313</v>
      </c>
      <c r="AK61" s="55">
        <f t="shared" si="2"/>
        <v>0.6</v>
      </c>
      <c r="AL61" s="55">
        <f t="shared" ca="1" si="9"/>
        <v>0.25</v>
      </c>
      <c r="AM61" s="65">
        <f t="shared" ca="1" si="3"/>
        <v>0.3290704031801876</v>
      </c>
      <c r="AN61" s="66">
        <f t="shared" ca="1" si="4"/>
        <v>2.72</v>
      </c>
      <c r="AO61" s="56">
        <f t="shared" ca="1" si="30"/>
        <v>0.12098176587506897</v>
      </c>
      <c r="AP61" t="str">
        <f t="shared" si="24"/>
        <v>Residential Building - medium density_46082</v>
      </c>
      <c r="AQ61" t="str">
        <f t="shared" si="25"/>
        <v>Electrical wire_46082</v>
      </c>
      <c r="AS61" s="281"/>
      <c r="AU61" s="68">
        <f t="shared" ca="1" si="27"/>
        <v>0</v>
      </c>
      <c r="AV61" s="68">
        <f t="shared" ca="1" si="27"/>
        <v>0</v>
      </c>
      <c r="AW61" s="68">
        <f t="shared" ca="1" si="33"/>
        <v>0</v>
      </c>
      <c r="DO61" s="281"/>
      <c r="EG61" s="281"/>
      <c r="EI61" s="85"/>
      <c r="EJ61" s="80"/>
      <c r="EK61" s="86"/>
      <c r="EL61" s="81"/>
      <c r="EM61" s="81"/>
      <c r="EN61" s="81"/>
      <c r="EO61" s="81"/>
      <c r="EP61" s="82"/>
      <c r="EQ61" s="87"/>
      <c r="ER61" s="97"/>
      <c r="ES61" s="88"/>
      <c r="FL61" s="281"/>
      <c r="FW61" s="281"/>
      <c r="GC61" s="281"/>
      <c r="GF61" s="129"/>
      <c r="GG61" s="129"/>
      <c r="GH61" s="128"/>
      <c r="GI61" s="128"/>
      <c r="GJ61" s="81"/>
      <c r="GK61" s="81"/>
      <c r="GL61" s="81"/>
      <c r="GM61" s="81"/>
      <c r="GN61" s="81"/>
      <c r="GO61" s="81"/>
      <c r="GP61" s="87"/>
      <c r="GQ61" s="87"/>
      <c r="GR61" s="97"/>
      <c r="GS61" s="97"/>
      <c r="GT61" s="88"/>
      <c r="GU61" s="88"/>
      <c r="GX61" s="17"/>
      <c r="GZ61" s="281"/>
      <c r="HB61" s="17"/>
      <c r="HN61" s="281"/>
      <c r="HP61" s="17"/>
      <c r="HY61" s="281"/>
    </row>
    <row r="62" spans="3:233" ht="15.6" thickTop="1" thickBot="1">
      <c r="C62" s="281"/>
      <c r="AC62" s="281"/>
      <c r="AE62" s="59" t="str">
        <f t="shared" si="31"/>
        <v>Residential Building - medium density</v>
      </c>
      <c r="AF62" s="57" t="s">
        <v>38</v>
      </c>
      <c r="AG62" s="60">
        <f t="shared" si="32"/>
        <v>46082</v>
      </c>
      <c r="AH62" s="79">
        <f ca="1">IFERROR(INDEX('Core Inputs Interface'!$1:$1048576,MATCH($AE62,'Core Inputs Interface'!$H:$H,0),MATCH($AG62,'Core Inputs Interface'!$17:$17,0)),"")</f>
        <v>136</v>
      </c>
      <c r="AI62" s="55">
        <f t="shared" si="8"/>
        <v>0.05</v>
      </c>
      <c r="AJ62" s="55">
        <f t="shared" si="1"/>
        <v>0.24210307145623419</v>
      </c>
      <c r="AK62" s="55">
        <f t="shared" si="2"/>
        <v>0.6</v>
      </c>
      <c r="AL62" s="55">
        <f t="shared" ca="1" si="9"/>
        <v>0.25</v>
      </c>
      <c r="AM62" s="65">
        <f t="shared" ca="1" si="3"/>
        <v>0.24694513288535888</v>
      </c>
      <c r="AN62" s="66">
        <f t="shared" ca="1" si="4"/>
        <v>6.8000000000000007</v>
      </c>
      <c r="AO62" s="56">
        <f t="shared" ca="1" si="30"/>
        <v>3.6315460718435125E-2</v>
      </c>
      <c r="AP62" t="str">
        <f t="shared" si="24"/>
        <v>Residential Building - medium density_46082</v>
      </c>
      <c r="AQ62" t="str">
        <f t="shared" si="25"/>
        <v>Glass_46082</v>
      </c>
      <c r="AS62" s="281"/>
      <c r="AU62" s="68">
        <f t="shared" ca="1" si="27"/>
        <v>0</v>
      </c>
      <c r="AV62" s="68">
        <f t="shared" ca="1" si="27"/>
        <v>0</v>
      </c>
      <c r="AW62" s="68">
        <f t="shared" ca="1" si="33"/>
        <v>0</v>
      </c>
      <c r="DO62" s="281"/>
      <c r="EG62" s="281"/>
      <c r="EI62" s="85"/>
      <c r="EJ62" s="80"/>
      <c r="EK62" s="86"/>
      <c r="EL62" s="81"/>
      <c r="EM62" s="81"/>
      <c r="EN62" s="81"/>
      <c r="EO62" s="81"/>
      <c r="EP62" s="82"/>
      <c r="EQ62" s="87"/>
      <c r="ER62" s="97"/>
      <c r="ES62" s="88"/>
      <c r="FL62" s="281"/>
      <c r="FW62" s="281"/>
      <c r="GC62" s="281"/>
      <c r="GF62" s="129"/>
      <c r="GG62" s="129"/>
      <c r="GH62" s="128"/>
      <c r="GI62" s="128"/>
      <c r="GJ62" s="81"/>
      <c r="GK62" s="81"/>
      <c r="GL62" s="81"/>
      <c r="GM62" s="81"/>
      <c r="GN62" s="81"/>
      <c r="GO62" s="81"/>
      <c r="GP62" s="87"/>
      <c r="GQ62" s="87"/>
      <c r="GR62" s="97"/>
      <c r="GS62" s="97"/>
      <c r="GT62" s="88"/>
      <c r="GU62" s="88"/>
      <c r="GX62" s="17"/>
      <c r="GZ62" s="281"/>
      <c r="HB62" s="17"/>
      <c r="HN62" s="281"/>
      <c r="HP62" s="17"/>
      <c r="HY62" s="281"/>
    </row>
    <row r="63" spans="3:233" ht="15.6" thickTop="1" thickBot="1">
      <c r="C63" s="281"/>
      <c r="AC63" s="281"/>
      <c r="AE63" s="59" t="str">
        <f t="shared" si="31"/>
        <v>Residential Building - medium density</v>
      </c>
      <c r="AF63" s="57" t="s">
        <v>40</v>
      </c>
      <c r="AG63" s="60">
        <f t="shared" si="32"/>
        <v>46082</v>
      </c>
      <c r="AH63" s="79">
        <f ca="1">IFERROR(INDEX('Core Inputs Interface'!$1:$1048576,MATCH($AE63,'Core Inputs Interface'!$H:$H,0),MATCH($AG63,'Core Inputs Interface'!$17:$17,0)),"")</f>
        <v>136</v>
      </c>
      <c r="AI63" s="55">
        <f t="shared" si="8"/>
        <v>7.0000000000000007E-2</v>
      </c>
      <c r="AJ63" s="55">
        <f t="shared" si="1"/>
        <v>2.4772729573316262E-4</v>
      </c>
      <c r="AK63" s="55">
        <f t="shared" si="2"/>
        <v>0.6</v>
      </c>
      <c r="AL63" s="55">
        <f t="shared" ca="1" si="9"/>
        <v>0.25</v>
      </c>
      <c r="AM63" s="65">
        <f t="shared" ca="1" si="3"/>
        <v>3.5375457830695627E-4</v>
      </c>
      <c r="AN63" s="66">
        <f t="shared" ca="1" si="4"/>
        <v>9.5200000000000014</v>
      </c>
      <c r="AO63" s="56">
        <f t="shared" ca="1" si="30"/>
        <v>3.7159094359974391E-5</v>
      </c>
      <c r="AP63" t="str">
        <f t="shared" si="24"/>
        <v>Residential Building - medium density_46082</v>
      </c>
      <c r="AQ63" t="str">
        <f t="shared" si="25"/>
        <v>Roofing_46082</v>
      </c>
      <c r="AS63" s="281"/>
      <c r="AU63" s="68">
        <f t="shared" ca="1" si="27"/>
        <v>0</v>
      </c>
      <c r="AV63" s="68">
        <f t="shared" ca="1" si="27"/>
        <v>0</v>
      </c>
      <c r="AW63" s="68">
        <f t="shared" ca="1" si="33"/>
        <v>0</v>
      </c>
      <c r="DO63" s="281"/>
      <c r="EG63" s="281"/>
      <c r="EI63" s="85"/>
      <c r="EJ63" s="80"/>
      <c r="EK63" s="86"/>
      <c r="EL63" s="81"/>
      <c r="EM63" s="81"/>
      <c r="EN63" s="81"/>
      <c r="EO63" s="81"/>
      <c r="EP63" s="82"/>
      <c r="EQ63" s="87"/>
      <c r="ER63" s="97"/>
      <c r="ES63" s="88"/>
      <c r="FL63" s="281"/>
      <c r="FW63" s="281"/>
      <c r="GC63" s="281"/>
      <c r="GF63" s="129"/>
      <c r="GG63" s="129"/>
      <c r="GH63" s="128"/>
      <c r="GI63" s="128"/>
      <c r="GJ63" s="81"/>
      <c r="GK63" s="81"/>
      <c r="GL63" s="81"/>
      <c r="GM63" s="81"/>
      <c r="GN63" s="81"/>
      <c r="GO63" s="81"/>
      <c r="GP63" s="87"/>
      <c r="GQ63" s="87"/>
      <c r="GR63" s="97"/>
      <c r="GS63" s="97"/>
      <c r="GT63" s="88"/>
      <c r="GU63" s="88"/>
      <c r="GX63" s="17"/>
      <c r="GZ63" s="281"/>
      <c r="HB63" s="17"/>
      <c r="HN63" s="281"/>
      <c r="HP63" s="17"/>
      <c r="HY63" s="281"/>
    </row>
    <row r="64" spans="3:233" ht="15.6" thickTop="1" thickBot="1">
      <c r="C64" s="281"/>
      <c r="AC64" s="281"/>
      <c r="AE64" s="59" t="str">
        <f t="shared" si="31"/>
        <v>Residential Building - medium density</v>
      </c>
      <c r="AF64" s="57" t="s">
        <v>42</v>
      </c>
      <c r="AG64" s="60">
        <f t="shared" si="32"/>
        <v>46082</v>
      </c>
      <c r="AH64" s="79">
        <f ca="1">IFERROR(INDEX('Core Inputs Interface'!$1:$1048576,MATCH($AE64,'Core Inputs Interface'!$H:$H,0),MATCH($AG64,'Core Inputs Interface'!$17:$17,0)),"")</f>
        <v>136</v>
      </c>
      <c r="AI64" s="55">
        <f t="shared" si="8"/>
        <v>0.04</v>
      </c>
      <c r="AJ64" s="55">
        <f t="shared" si="1"/>
        <v>0.54050345117059384</v>
      </c>
      <c r="AK64" s="55">
        <f t="shared" si="2"/>
        <v>0.6</v>
      </c>
      <c r="AL64" s="55">
        <f t="shared" ca="1" si="9"/>
        <v>0.25</v>
      </c>
      <c r="AM64" s="65">
        <f t="shared" ca="1" si="3"/>
        <v>0.44105081615520458</v>
      </c>
      <c r="AN64" s="66">
        <f t="shared" ca="1" si="4"/>
        <v>5.44</v>
      </c>
      <c r="AO64" s="56">
        <f t="shared" ca="1" si="30"/>
        <v>8.1075517675589071E-2</v>
      </c>
      <c r="AP64" t="str">
        <f t="shared" si="24"/>
        <v>Residential Building - medium density_46082</v>
      </c>
      <c r="AQ64" t="str">
        <f t="shared" si="25"/>
        <v>Interior_46082</v>
      </c>
      <c r="AS64" s="281"/>
      <c r="AU64" s="68">
        <f t="shared" ca="1" si="27"/>
        <v>0</v>
      </c>
      <c r="AV64" s="68">
        <f t="shared" ca="1" si="27"/>
        <v>0</v>
      </c>
      <c r="AW64" s="68">
        <f t="shared" ca="1" si="33"/>
        <v>0</v>
      </c>
      <c r="DO64" s="281"/>
      <c r="EG64" s="281"/>
      <c r="EI64" s="85"/>
      <c r="EJ64" s="80"/>
      <c r="EK64" s="86"/>
      <c r="EL64" s="81"/>
      <c r="EM64" s="81"/>
      <c r="EN64" s="81"/>
      <c r="EO64" s="81"/>
      <c r="EP64" s="82"/>
      <c r="EQ64" s="87"/>
      <c r="ER64" s="97"/>
      <c r="ES64" s="88"/>
      <c r="FL64" s="281"/>
      <c r="FW64" s="281"/>
      <c r="GC64" s="281"/>
      <c r="GF64" s="129"/>
      <c r="GG64" s="129"/>
      <c r="GH64" s="128"/>
      <c r="GI64" s="128"/>
      <c r="GJ64" s="81"/>
      <c r="GK64" s="81"/>
      <c r="GL64" s="81"/>
      <c r="GM64" s="81"/>
      <c r="GN64" s="81"/>
      <c r="GO64" s="81"/>
      <c r="GP64" s="87"/>
      <c r="GQ64" s="87"/>
      <c r="GR64" s="97"/>
      <c r="GS64" s="97"/>
      <c r="GT64" s="88"/>
      <c r="GU64" s="88"/>
      <c r="GX64" s="17"/>
      <c r="GZ64" s="281"/>
      <c r="HB64" s="17"/>
      <c r="HN64" s="281"/>
      <c r="HP64" s="17"/>
      <c r="HY64" s="281"/>
    </row>
    <row r="65" spans="3:233" ht="15.6" thickTop="1" thickBot="1">
      <c r="C65" s="281"/>
      <c r="AC65" s="281"/>
      <c r="AE65" s="59" t="str">
        <f t="shared" si="31"/>
        <v>Residential Building - medium density</v>
      </c>
      <c r="AF65" s="57" t="s">
        <v>44</v>
      </c>
      <c r="AG65" s="60">
        <f t="shared" si="32"/>
        <v>46082</v>
      </c>
      <c r="AH65" s="79">
        <f ca="1">IFERROR(INDEX('Core Inputs Interface'!$1:$1048576,MATCH($AE65,'Core Inputs Interface'!$H:$H,0),MATCH($AG65,'Core Inputs Interface'!$17:$17,0)),"")</f>
        <v>136</v>
      </c>
      <c r="AI65" s="55">
        <f t="shared" si="8"/>
        <v>0</v>
      </c>
      <c r="AJ65" s="55">
        <f t="shared" si="1"/>
        <v>0.14985905317691026</v>
      </c>
      <c r="AK65" s="55">
        <f t="shared" si="2"/>
        <v>0.6</v>
      </c>
      <c r="AL65" s="55">
        <f t="shared" ca="1" si="9"/>
        <v>0.25</v>
      </c>
      <c r="AM65" s="65">
        <f t="shared" ca="1" si="3"/>
        <v>0</v>
      </c>
      <c r="AN65" s="66">
        <f t="shared" ca="1" si="4"/>
        <v>0</v>
      </c>
      <c r="AO65" s="56">
        <f t="shared" ca="1" si="30"/>
        <v>0</v>
      </c>
      <c r="AP65" t="str">
        <f t="shared" si="24"/>
        <v>Residential Building - medium density_46082</v>
      </c>
      <c r="AQ65" t="str">
        <f t="shared" si="25"/>
        <v>Bitumen_46082</v>
      </c>
      <c r="AS65" s="281"/>
      <c r="AU65" s="68">
        <f t="shared" ca="1" si="27"/>
        <v>0</v>
      </c>
      <c r="AV65" s="68">
        <f t="shared" ca="1" si="27"/>
        <v>0</v>
      </c>
      <c r="AW65" s="68">
        <f t="shared" ca="1" si="29"/>
        <v>0</v>
      </c>
      <c r="DO65" s="281"/>
      <c r="EG65" s="281"/>
      <c r="EI65" s="85"/>
      <c r="EJ65" s="80"/>
      <c r="EK65" s="86"/>
      <c r="EL65" s="81"/>
      <c r="EM65" s="81"/>
      <c r="EN65" s="81"/>
      <c r="EO65" s="81"/>
      <c r="EP65" s="82"/>
      <c r="EQ65" s="87"/>
      <c r="ER65" s="97"/>
      <c r="ES65" s="88"/>
      <c r="FL65" s="281"/>
      <c r="FW65" s="281"/>
      <c r="GC65" s="281"/>
      <c r="GF65" s="129"/>
      <c r="GG65" s="129"/>
      <c r="GH65" s="128"/>
      <c r="GI65" s="128"/>
      <c r="GJ65" s="81"/>
      <c r="GK65" s="81"/>
      <c r="GL65" s="81"/>
      <c r="GM65" s="81"/>
      <c r="GN65" s="81"/>
      <c r="GO65" s="81"/>
      <c r="GP65" s="87"/>
      <c r="GQ65" s="87"/>
      <c r="GR65" s="97"/>
      <c r="GS65" s="97"/>
      <c r="GT65" s="88"/>
      <c r="GU65" s="88"/>
      <c r="GX65" s="17"/>
      <c r="GZ65" s="281"/>
      <c r="HB65" s="17"/>
      <c r="HN65" s="281"/>
      <c r="HP65" s="17"/>
      <c r="HY65" s="281"/>
    </row>
    <row r="66" spans="3:233" ht="15.6" thickTop="1" thickBot="1">
      <c r="C66" s="281"/>
      <c r="AC66" s="281"/>
      <c r="AE66" s="59" t="str">
        <f t="shared" si="31"/>
        <v>Residential Building - medium density</v>
      </c>
      <c r="AF66" s="57" t="s">
        <v>46</v>
      </c>
      <c r="AG66" s="60">
        <f t="shared" si="32"/>
        <v>46082</v>
      </c>
      <c r="AH66" s="79">
        <f ca="1">IFERROR(INDEX('Core Inputs Interface'!$1:$1048576,MATCH($AE66,'Core Inputs Interface'!$H:$H,0),MATCH($AG66,'Core Inputs Interface'!$17:$17,0)),"")</f>
        <v>136</v>
      </c>
      <c r="AI66" s="55">
        <f t="shared" si="8"/>
        <v>5.0000000000000001E-3</v>
      </c>
      <c r="AJ66" s="55">
        <f t="shared" si="1"/>
        <v>0.12828361767948987</v>
      </c>
      <c r="AK66" s="55">
        <f t="shared" si="2"/>
        <v>0.6</v>
      </c>
      <c r="AL66" s="55">
        <f t="shared" ca="1" si="9"/>
        <v>0.25</v>
      </c>
      <c r="AM66" s="65">
        <f t="shared" ca="1" si="3"/>
        <v>1.3084929003307967E-2</v>
      </c>
      <c r="AN66" s="66">
        <f t="shared" ca="1" si="4"/>
        <v>0.68</v>
      </c>
      <c r="AO66" s="56">
        <f t="shared" ca="1" si="30"/>
        <v>1.9242542651923478E-2</v>
      </c>
      <c r="AP66" t="str">
        <f t="shared" si="24"/>
        <v>Residential Building - medium density_46082</v>
      </c>
      <c r="AQ66" t="str">
        <f t="shared" si="25"/>
        <v>Polyethylene pipes_46082</v>
      </c>
      <c r="AS66" s="281"/>
      <c r="AU66" s="68">
        <f t="shared" ca="1" si="27"/>
        <v>0</v>
      </c>
      <c r="AV66" s="68">
        <f t="shared" ca="1" si="27"/>
        <v>0</v>
      </c>
      <c r="AW66" s="68">
        <f t="shared" ca="1" si="26"/>
        <v>0</v>
      </c>
      <c r="DO66" s="281"/>
      <c r="EG66" s="281"/>
      <c r="EI66" s="85"/>
      <c r="EJ66" s="80"/>
      <c r="EK66" s="86"/>
      <c r="EL66" s="81"/>
      <c r="EM66" s="81"/>
      <c r="EN66" s="81"/>
      <c r="EO66" s="81"/>
      <c r="EP66" s="82"/>
      <c r="EQ66" s="87"/>
      <c r="ER66" s="97"/>
      <c r="ES66" s="88"/>
      <c r="FL66" s="281"/>
      <c r="FW66" s="281"/>
      <c r="GC66" s="281"/>
      <c r="GF66" s="129"/>
      <c r="GG66" s="129"/>
      <c r="GH66" s="128"/>
      <c r="GI66" s="128"/>
      <c r="GJ66" s="81"/>
      <c r="GK66" s="81"/>
      <c r="GL66" s="81"/>
      <c r="GM66" s="81"/>
      <c r="GN66" s="81"/>
      <c r="GO66" s="81"/>
      <c r="GP66" s="87"/>
      <c r="GQ66" s="87"/>
      <c r="GR66" s="97"/>
      <c r="GS66" s="97"/>
      <c r="GT66" s="88"/>
      <c r="GU66" s="88"/>
      <c r="GX66" s="17"/>
      <c r="GZ66" s="281"/>
      <c r="HB66" s="17"/>
      <c r="HN66" s="281"/>
      <c r="HP66" s="17"/>
      <c r="HY66" s="281"/>
    </row>
    <row r="67" spans="3:233" ht="15.6" thickTop="1" thickBot="1">
      <c r="C67" s="281"/>
      <c r="AC67" s="281"/>
      <c r="AE67" s="59" t="str">
        <f t="shared" si="31"/>
        <v>Residential Building - medium density</v>
      </c>
      <c r="AF67" s="57" t="s">
        <v>48</v>
      </c>
      <c r="AG67" s="60">
        <f t="shared" si="32"/>
        <v>46082</v>
      </c>
      <c r="AH67" s="79">
        <f ca="1">IFERROR(INDEX('Core Inputs Interface'!$1:$1048576,MATCH($AE67,'Core Inputs Interface'!$H:$H,0),MATCH($AG67,'Core Inputs Interface'!$17:$17,0)),"")</f>
        <v>136</v>
      </c>
      <c r="AI67" s="55">
        <f t="shared" si="8"/>
        <v>0.04</v>
      </c>
      <c r="AJ67" s="55">
        <f t="shared" si="1"/>
        <v>0.31546495432215926</v>
      </c>
      <c r="AK67" s="55">
        <f t="shared" si="2"/>
        <v>0.8</v>
      </c>
      <c r="AL67" s="55">
        <f t="shared" ca="1" si="9"/>
        <v>0.25</v>
      </c>
      <c r="AM67" s="65">
        <f t="shared" ca="1" si="3"/>
        <v>0.34322587030250928</v>
      </c>
      <c r="AN67" s="66">
        <f t="shared" ca="1" si="4"/>
        <v>5.44</v>
      </c>
      <c r="AO67" s="56">
        <f t="shared" ca="1" si="30"/>
        <v>6.3092990864431847E-2</v>
      </c>
      <c r="AP67" t="str">
        <f t="shared" si="24"/>
        <v>Residential Building - medium density_46082</v>
      </c>
      <c r="AQ67" t="str">
        <f t="shared" si="25"/>
        <v>Plant and equipment_46082</v>
      </c>
      <c r="AS67" s="281"/>
      <c r="AU67" s="68">
        <f t="shared" ca="1" si="27"/>
        <v>0</v>
      </c>
      <c r="AV67" s="68">
        <f t="shared" ca="1" si="27"/>
        <v>0</v>
      </c>
      <c r="AW67" s="68">
        <f t="shared" ca="1" si="26"/>
        <v>0</v>
      </c>
      <c r="DO67" s="281"/>
      <c r="EG67" s="281"/>
      <c r="EI67" s="85"/>
      <c r="EJ67" s="80"/>
      <c r="EK67" s="86"/>
      <c r="EL67" s="81"/>
      <c r="EM67" s="81"/>
      <c r="EN67" s="81"/>
      <c r="EO67" s="81"/>
      <c r="EP67" s="82"/>
      <c r="EQ67" s="87"/>
      <c r="ER67" s="97"/>
      <c r="ES67" s="88"/>
      <c r="FL67" s="281"/>
      <c r="FW67" s="281"/>
      <c r="GC67" s="281"/>
      <c r="GF67" s="129"/>
      <c r="GG67" s="129"/>
      <c r="GH67" s="128"/>
      <c r="GI67" s="128"/>
      <c r="GJ67" s="81"/>
      <c r="GK67" s="81"/>
      <c r="GL67" s="81"/>
      <c r="GM67" s="81"/>
      <c r="GN67" s="81"/>
      <c r="GO67" s="81"/>
      <c r="GP67" s="87"/>
      <c r="GQ67" s="87"/>
      <c r="GR67" s="97"/>
      <c r="GS67" s="97"/>
      <c r="GT67" s="88"/>
      <c r="GU67" s="88"/>
      <c r="GX67" s="17"/>
      <c r="GZ67" s="281"/>
      <c r="HB67" s="17"/>
      <c r="HN67" s="281"/>
      <c r="HP67" s="17"/>
      <c r="HY67" s="281"/>
    </row>
    <row r="68" spans="3:233" ht="15.6" thickTop="1" thickBot="1">
      <c r="C68" s="281"/>
      <c r="AC68" s="281"/>
      <c r="AE68" s="59" t="str">
        <f t="shared" si="31"/>
        <v>Residential Building - medium density</v>
      </c>
      <c r="AF68" s="57" t="s">
        <v>50</v>
      </c>
      <c r="AG68" s="60">
        <f t="shared" si="32"/>
        <v>46082</v>
      </c>
      <c r="AH68" s="79">
        <f ca="1">IFERROR(INDEX('Core Inputs Interface'!$1:$1048576,MATCH($AE68,'Core Inputs Interface'!$H:$H,0),MATCH($AG68,'Core Inputs Interface'!$17:$17,0)),"")</f>
        <v>136</v>
      </c>
      <c r="AI68" s="55">
        <f t="shared" si="8"/>
        <v>0.02</v>
      </c>
      <c r="AJ68" s="55">
        <f t="shared" si="1"/>
        <v>0.48556692694591386</v>
      </c>
      <c r="AK68" s="55">
        <f t="shared" si="2"/>
        <v>0.8</v>
      </c>
      <c r="AL68" s="55">
        <f t="shared" ca="1" si="9"/>
        <v>0.25</v>
      </c>
      <c r="AM68" s="65">
        <f t="shared" ca="1" si="3"/>
        <v>0.26414840825857716</v>
      </c>
      <c r="AN68" s="66">
        <f t="shared" ca="1" si="4"/>
        <v>2.72</v>
      </c>
      <c r="AO68" s="56">
        <f t="shared" ca="1" si="30"/>
        <v>9.7113385389182766E-2</v>
      </c>
      <c r="AP68" t="str">
        <f t="shared" si="24"/>
        <v>Residential Building - medium density_46082</v>
      </c>
      <c r="AQ68" t="str">
        <f t="shared" si="25"/>
        <v>Electrical equipment_46082</v>
      </c>
      <c r="AS68" s="281"/>
      <c r="AU68" s="68">
        <f t="shared" ca="1" si="27"/>
        <v>0</v>
      </c>
      <c r="AV68" s="68">
        <f t="shared" ca="1" si="27"/>
        <v>0</v>
      </c>
      <c r="AW68" s="68">
        <f t="shared" ca="1" si="26"/>
        <v>0</v>
      </c>
      <c r="DO68" s="281"/>
      <c r="EG68" s="281"/>
      <c r="EI68" s="85"/>
      <c r="EJ68" s="80"/>
      <c r="EK68" s="86"/>
      <c r="EL68" s="81"/>
      <c r="EM68" s="81"/>
      <c r="EN68" s="81"/>
      <c r="EO68" s="81"/>
      <c r="EP68" s="82"/>
      <c r="EQ68" s="87"/>
      <c r="ER68" s="97"/>
      <c r="ES68" s="88"/>
      <c r="FL68" s="281"/>
      <c r="FW68" s="281"/>
      <c r="GC68" s="281"/>
      <c r="GF68" s="129"/>
      <c r="GG68" s="129"/>
      <c r="GH68" s="128"/>
      <c r="GI68" s="128"/>
      <c r="GJ68" s="81"/>
      <c r="GK68" s="81"/>
      <c r="GL68" s="81"/>
      <c r="GM68" s="81"/>
      <c r="GN68" s="81"/>
      <c r="GO68" s="81"/>
      <c r="GP68" s="87"/>
      <c r="GQ68" s="87"/>
      <c r="GR68" s="97"/>
      <c r="GS68" s="97"/>
      <c r="GT68" s="88"/>
      <c r="GU68" s="88"/>
      <c r="GX68" s="17"/>
      <c r="GZ68" s="281"/>
      <c r="HB68" s="17"/>
      <c r="HN68" s="281"/>
      <c r="HP68" s="17"/>
      <c r="HY68" s="281"/>
    </row>
    <row r="69" spans="3:233" ht="16.5" customHeight="1" thickTop="1" thickBot="1">
      <c r="C69" s="281"/>
      <c r="AC69" s="281"/>
      <c r="AE69" s="59" t="str">
        <f t="shared" si="31"/>
        <v>Residential Building - medium density</v>
      </c>
      <c r="AF69" s="57" t="s">
        <v>52</v>
      </c>
      <c r="AG69" s="60">
        <f t="shared" si="32"/>
        <v>46082</v>
      </c>
      <c r="AH69" s="79">
        <f ca="1">IFERROR(INDEX('Core Inputs Interface'!$1:$1048576,MATCH($AE69,'Core Inputs Interface'!$H:$H,0),MATCH($AG69,'Core Inputs Interface'!$17:$17,0)),"")</f>
        <v>136</v>
      </c>
      <c r="AI69" s="55">
        <f t="shared" si="8"/>
        <v>0</v>
      </c>
      <c r="AJ69" s="55">
        <f t="shared" si="1"/>
        <v>0.23440288076987165</v>
      </c>
      <c r="AK69" s="55">
        <f t="shared" si="2"/>
        <v>0.8</v>
      </c>
      <c r="AL69" s="55">
        <f t="shared" ca="1" si="9"/>
        <v>0.25</v>
      </c>
      <c r="AM69" s="65">
        <f t="shared" ca="1" si="3"/>
        <v>0</v>
      </c>
      <c r="AN69" s="66">
        <f t="shared" ca="1" si="4"/>
        <v>0</v>
      </c>
      <c r="AO69" s="56">
        <f t="shared" ca="1" si="30"/>
        <v>0</v>
      </c>
      <c r="AP69" t="str">
        <f t="shared" si="24"/>
        <v>Residential Building - medium density_46082</v>
      </c>
      <c r="AQ69" t="str">
        <f t="shared" si="25"/>
        <v>Road equipment_46082</v>
      </c>
      <c r="AS69" s="281"/>
      <c r="AU69" s="68">
        <f t="shared" ca="1" si="27"/>
        <v>0</v>
      </c>
      <c r="AV69" s="68">
        <f t="shared" ca="1" si="27"/>
        <v>0</v>
      </c>
      <c r="AW69" s="68">
        <f t="shared" ca="1" si="26"/>
        <v>0</v>
      </c>
      <c r="DO69" s="281"/>
      <c r="EG69" s="281"/>
      <c r="EI69" s="85"/>
      <c r="EJ69" s="80"/>
      <c r="EK69" s="86"/>
      <c r="EL69" s="81"/>
      <c r="EM69" s="81"/>
      <c r="EN69" s="81"/>
      <c r="EO69" s="81"/>
      <c r="EP69" s="82"/>
      <c r="EQ69" s="87"/>
      <c r="ER69" s="97"/>
      <c r="ES69" s="88"/>
      <c r="FL69" s="281"/>
      <c r="FW69" s="281"/>
      <c r="GC69" s="281"/>
      <c r="GZ69" s="281"/>
      <c r="HN69" s="281"/>
      <c r="HY69" s="281"/>
    </row>
    <row r="70" spans="3:233" ht="15.6" thickTop="1" thickBot="1">
      <c r="C70" s="281"/>
      <c r="AC70" s="281"/>
      <c r="AE70" s="59" t="str">
        <f t="shared" si="31"/>
        <v>Residential Building - medium density</v>
      </c>
      <c r="AF70" s="57" t="s">
        <v>54</v>
      </c>
      <c r="AG70" s="60">
        <f t="shared" si="32"/>
        <v>46082</v>
      </c>
      <c r="AH70" s="79">
        <f ca="1">IFERROR(INDEX('Core Inputs Interface'!$1:$1048576,MATCH($AE70,'Core Inputs Interface'!$H:$H,0),MATCH($AG70,'Core Inputs Interface'!$17:$17,0)),"")</f>
        <v>136</v>
      </c>
      <c r="AI70" s="55">
        <f t="shared" si="8"/>
        <v>0</v>
      </c>
      <c r="AJ70" s="55">
        <f t="shared" si="1"/>
        <v>0.53411483886586031</v>
      </c>
      <c r="AK70" s="55">
        <f t="shared" si="2"/>
        <v>0.8</v>
      </c>
      <c r="AL70" s="55">
        <f t="shared" ca="1" si="9"/>
        <v>0.25</v>
      </c>
      <c r="AM70" s="65">
        <f t="shared" ca="1" si="3"/>
        <v>0</v>
      </c>
      <c r="AN70" s="66">
        <f t="shared" ca="1" si="4"/>
        <v>0</v>
      </c>
      <c r="AO70" s="56">
        <f t="shared" ca="1" si="30"/>
        <v>0</v>
      </c>
      <c r="AP70" t="str">
        <f t="shared" si="24"/>
        <v>Residential Building - medium density_46082</v>
      </c>
      <c r="AQ70" t="str">
        <f t="shared" si="25"/>
        <v>Water equipment_46082</v>
      </c>
      <c r="AS70" s="281"/>
      <c r="AU70" s="68">
        <f t="shared" ca="1" si="27"/>
        <v>0</v>
      </c>
      <c r="AV70" s="68">
        <f t="shared" ca="1" si="27"/>
        <v>0</v>
      </c>
      <c r="AW70" s="68">
        <f t="shared" ca="1" si="26"/>
        <v>0</v>
      </c>
      <c r="DO70" s="281"/>
      <c r="EG70" s="281"/>
      <c r="EI70" s="85"/>
      <c r="EJ70" s="80"/>
      <c r="EK70" s="86"/>
      <c r="EL70" s="81"/>
      <c r="EM70" s="81"/>
      <c r="EN70" s="81"/>
      <c r="EO70" s="81"/>
      <c r="EP70" s="82"/>
      <c r="EQ70" s="87"/>
      <c r="ER70" s="97"/>
      <c r="ES70" s="88"/>
      <c r="FL70" s="281"/>
      <c r="FW70" s="281"/>
      <c r="GC70" s="281"/>
      <c r="GZ70" s="281"/>
      <c r="HN70" s="281"/>
      <c r="HY70" s="281"/>
    </row>
    <row r="71" spans="3:233" ht="15.6" thickTop="1" thickBot="1">
      <c r="C71" s="281"/>
      <c r="AC71" s="281"/>
      <c r="AE71" s="59" t="str">
        <f t="shared" si="31"/>
        <v>Residential Building - medium density</v>
      </c>
      <c r="AF71" s="57" t="s">
        <v>56</v>
      </c>
      <c r="AG71" s="60">
        <f t="shared" si="32"/>
        <v>46082</v>
      </c>
      <c r="AH71" s="79">
        <f ca="1">IFERROR(INDEX('Core Inputs Interface'!$1:$1048576,MATCH($AE71,'Core Inputs Interface'!$H:$H,0),MATCH($AG71,'Core Inputs Interface'!$17:$17,0)),"")</f>
        <v>136</v>
      </c>
      <c r="AI71" s="55">
        <f t="shared" si="8"/>
        <v>0.05</v>
      </c>
      <c r="AJ71" s="55">
        <f t="shared" si="1"/>
        <v>0.45356302165418505</v>
      </c>
      <c r="AK71" s="55">
        <f t="shared" si="2"/>
        <v>0.6</v>
      </c>
      <c r="AL71" s="55">
        <f t="shared" ca="1" si="9"/>
        <v>0.1</v>
      </c>
      <c r="AM71" s="65">
        <f t="shared" ca="1" si="3"/>
        <v>0.18505371283490751</v>
      </c>
      <c r="AN71" s="66">
        <f t="shared" ca="1" si="4"/>
        <v>6.8000000000000007</v>
      </c>
      <c r="AO71" s="56">
        <f t="shared" ca="1" si="30"/>
        <v>2.7213781299251102E-2</v>
      </c>
      <c r="AP71" t="str">
        <f t="shared" si="24"/>
        <v>Residential Building - medium density_46082</v>
      </c>
      <c r="AQ71" t="str">
        <f t="shared" si="25"/>
        <v>Diesel_46082</v>
      </c>
      <c r="AS71" s="281"/>
      <c r="AU71" s="68">
        <f t="shared" ca="1" si="27"/>
        <v>0</v>
      </c>
      <c r="AV71" s="68">
        <f t="shared" ca="1" si="27"/>
        <v>0</v>
      </c>
      <c r="AW71" s="68">
        <f t="shared" ca="1" si="26"/>
        <v>0</v>
      </c>
      <c r="DO71" s="281"/>
      <c r="EG71" s="281"/>
      <c r="EI71" s="85"/>
      <c r="EJ71" s="80"/>
      <c r="EK71" s="86"/>
      <c r="EL71" s="81"/>
      <c r="EM71" s="81"/>
      <c r="EN71" s="81"/>
      <c r="EO71" s="81"/>
      <c r="EP71" s="82"/>
      <c r="EQ71" s="87"/>
      <c r="ER71" s="97"/>
      <c r="ES71" s="88"/>
      <c r="FL71" s="281"/>
      <c r="FW71" s="281"/>
      <c r="GC71" s="281"/>
      <c r="GZ71" s="281"/>
      <c r="HN71" s="281"/>
      <c r="HY71" s="281"/>
    </row>
    <row r="72" spans="3:233" ht="15.6" thickTop="1" thickBot="1">
      <c r="C72" s="281"/>
      <c r="AC72" s="281"/>
      <c r="AE72" s="59" t="str">
        <f t="shared" si="31"/>
        <v>Residential Building - medium density</v>
      </c>
      <c r="AF72" s="57" t="s">
        <v>49</v>
      </c>
      <c r="AG72" s="60">
        <f t="shared" si="32"/>
        <v>46082</v>
      </c>
      <c r="AH72" s="79">
        <f ca="1">IFERROR(INDEX('Core Inputs Interface'!$1:$1048576,MATCH($AE72,'Core Inputs Interface'!$H:$H,0),MATCH($AG72,'Core Inputs Interface'!$17:$17,0)),"")</f>
        <v>136</v>
      </c>
      <c r="AI72" s="55">
        <f t="shared" si="8"/>
        <v>0</v>
      </c>
      <c r="AJ72" s="55">
        <f t="shared" si="1"/>
        <v>0.52451068102476561</v>
      </c>
      <c r="AK72" s="55">
        <f t="shared" si="2"/>
        <v>0.8</v>
      </c>
      <c r="AL72" s="55">
        <f t="shared" ca="1" si="9"/>
        <v>0.25</v>
      </c>
      <c r="AM72" s="65">
        <f t="shared" ca="1" si="3"/>
        <v>0</v>
      </c>
      <c r="AN72" s="66">
        <f t="shared" ca="1" si="4"/>
        <v>0</v>
      </c>
      <c r="AO72" s="56">
        <f t="shared" ca="1" si="30"/>
        <v>0</v>
      </c>
      <c r="AP72" t="str">
        <f t="shared" si="24"/>
        <v>Residential Building - medium density_46082</v>
      </c>
      <c r="AQ72" t="str">
        <f t="shared" si="25"/>
        <v>Vehicles_46082</v>
      </c>
      <c r="AS72" s="281"/>
      <c r="AT72" s="69" t="s">
        <v>76</v>
      </c>
      <c r="AU72" s="70">
        <f ca="1">SUM(AU27:AU71)</f>
        <v>537.57724512279617</v>
      </c>
      <c r="AV72" s="70">
        <f ca="1">SUM(AV27:AV71)</f>
        <v>567.20443969828284</v>
      </c>
      <c r="AW72" s="70">
        <f ca="1">SUM(AW27:AW71)</f>
        <v>1104.7816848210791</v>
      </c>
      <c r="DO72" s="281"/>
      <c r="EG72" s="281"/>
      <c r="EI72" s="85"/>
      <c r="EJ72" s="80"/>
      <c r="EK72" s="86"/>
      <c r="EL72" s="81"/>
      <c r="EM72" s="81"/>
      <c r="EN72" s="81"/>
      <c r="EO72" s="81"/>
      <c r="EP72" s="82"/>
      <c r="EQ72" s="87"/>
      <c r="ER72" s="97"/>
      <c r="ES72" s="88"/>
      <c r="FL72" s="281"/>
      <c r="FW72" s="281"/>
      <c r="GC72" s="281"/>
      <c r="GZ72" s="281"/>
      <c r="HN72" s="281"/>
      <c r="HY72" s="281"/>
    </row>
    <row r="73" spans="3:233" ht="15.6" thickTop="1" thickBot="1">
      <c r="C73" s="281"/>
      <c r="AC73" s="281"/>
      <c r="AE73" s="59" t="str">
        <f>AE72</f>
        <v>Residential Building - medium density</v>
      </c>
      <c r="AF73" s="57" t="s">
        <v>51</v>
      </c>
      <c r="AG73" s="60">
        <f>AG72</f>
        <v>46082</v>
      </c>
      <c r="AH73" s="79">
        <f ca="1">IFERROR(INDEX('Core Inputs Interface'!$1:$1048576,MATCH($AE73,'Core Inputs Interface'!$H:$H,0),MATCH($AG73,'Core Inputs Interface'!$17:$17,0)),"")</f>
        <v>136</v>
      </c>
      <c r="AI73" s="55">
        <f t="shared" si="8"/>
        <v>0</v>
      </c>
      <c r="AJ73" s="55">
        <f t="shared" ref="AJ73:AJ136" si="34">IFERROR(INDEX($U:$U,MATCH($AF73,$T:$T,0)),0)</f>
        <v>0.39238740022595126</v>
      </c>
      <c r="AK73" s="55">
        <f t="shared" ref="AK73:AK136" si="35">IFERROR(INDEX($Y:$Y,MATCH($AF73,$X:$X,0)),0)</f>
        <v>0.8</v>
      </c>
      <c r="AL73" s="55">
        <f t="shared" ca="1" si="9"/>
        <v>0.25</v>
      </c>
      <c r="AM73" s="65">
        <f t="shared" ref="AM73:AM136" ca="1" si="36">IF(AL73="N/A",0,PRODUCT(AH73:AL73))</f>
        <v>0</v>
      </c>
      <c r="AN73" s="66">
        <f t="shared" ref="AN73:AN136" ca="1" si="37">PRODUCT(AH73:AI73)</f>
        <v>0</v>
      </c>
      <c r="AO73" s="56">
        <f ca="1">IFERROR(AM73/AN73,0)</f>
        <v>0</v>
      </c>
      <c r="AP73" t="str">
        <f t="shared" si="24"/>
        <v>Residential Building - medium density_46082</v>
      </c>
      <c r="AQ73" t="str">
        <f t="shared" si="25"/>
        <v>Machinery &amp; Equipment_46082</v>
      </c>
      <c r="AS73" s="281"/>
      <c r="DO73" s="281"/>
      <c r="EG73" s="281"/>
      <c r="EI73" s="85"/>
      <c r="EJ73" s="80"/>
      <c r="EK73" s="86"/>
      <c r="EL73" s="81"/>
      <c r="EM73" s="81"/>
      <c r="EN73" s="81"/>
      <c r="EO73" s="81"/>
      <c r="EP73" s="82"/>
      <c r="EQ73" s="87"/>
      <c r="ER73" s="97"/>
      <c r="ES73" s="88"/>
      <c r="FL73" s="281"/>
      <c r="FW73" s="281"/>
      <c r="GC73" s="281"/>
      <c r="GZ73" s="281"/>
      <c r="HN73" s="281"/>
      <c r="HY73" s="281"/>
    </row>
    <row r="74" spans="3:233" ht="15.6" thickTop="1" thickBot="1">
      <c r="C74" s="281"/>
      <c r="AC74" s="281"/>
      <c r="AE74" s="59" t="str">
        <f>AE73</f>
        <v>Residential Building - medium density</v>
      </c>
      <c r="AF74" s="57" t="s">
        <v>53</v>
      </c>
      <c r="AG74" s="60">
        <f>AG73</f>
        <v>46082</v>
      </c>
      <c r="AH74" s="79">
        <f ca="1">IFERROR(INDEX('Core Inputs Interface'!$1:$1048576,MATCH($AE74,'Core Inputs Interface'!$H:$H,0),MATCH($AG74,'Core Inputs Interface'!$17:$17,0)),"")</f>
        <v>136</v>
      </c>
      <c r="AI74" s="55">
        <f t="shared" ref="AI74:AI137" si="38">IFERROR(INDEX($F$9:$Q$30,MATCH($AF74,$E$9:$E$30,0),MATCH($AE74,$F$8:$Q$8,0)),0)</f>
        <v>0</v>
      </c>
      <c r="AJ74" s="55">
        <f t="shared" si="34"/>
        <v>0.15</v>
      </c>
      <c r="AK74" s="55">
        <f t="shared" si="35"/>
        <v>0.8</v>
      </c>
      <c r="AL74" s="55">
        <f t="shared" ref="AL74:AL137" ca="1" si="39">IFERROR(INDEX($Z$10:$AA$31,MATCH($AF74,$X$10:$X$31,0),MATCH($AG74,$Z$9:$AA$9,0)),0)</f>
        <v>0.25</v>
      </c>
      <c r="AM74" s="65">
        <f t="shared" ca="1" si="36"/>
        <v>0</v>
      </c>
      <c r="AN74" s="66">
        <f t="shared" ca="1" si="37"/>
        <v>0</v>
      </c>
      <c r="AO74" s="56">
        <f ca="1">IFERROR(AM74/AN74,0)</f>
        <v>0</v>
      </c>
      <c r="AP74" t="str">
        <f t="shared" si="24"/>
        <v>Residential Building - medium density_46082</v>
      </c>
      <c r="AQ74" t="str">
        <f t="shared" si="25"/>
        <v>Office Equipment &amp; IT_46082</v>
      </c>
      <c r="AS74" s="281"/>
      <c r="DO74" s="281"/>
      <c r="EG74" s="281"/>
      <c r="EI74" s="85"/>
      <c r="EJ74" s="80"/>
      <c r="EK74" s="86"/>
      <c r="EL74" s="81"/>
      <c r="EM74" s="81"/>
      <c r="EN74" s="81"/>
      <c r="EO74" s="81"/>
      <c r="EP74" s="82"/>
      <c r="EQ74" s="87"/>
      <c r="ER74" s="97"/>
      <c r="ES74" s="88"/>
      <c r="FL74" s="281"/>
      <c r="FW74" s="281"/>
      <c r="GC74" s="281"/>
      <c r="GZ74" s="281"/>
      <c r="HN74" s="281"/>
      <c r="HY74" s="281"/>
    </row>
    <row r="75" spans="3:233" ht="15.6" thickTop="1" thickBot="1">
      <c r="C75" s="281"/>
      <c r="AC75" s="281"/>
      <c r="AE75" s="59" t="str">
        <f>AE72</f>
        <v>Residential Building - medium density</v>
      </c>
      <c r="AF75" s="59" t="str">
        <f t="shared" ref="AF75:AF94" si="40">AF53</f>
        <v>Labour</v>
      </c>
      <c r="AG75" s="61">
        <f>EDATE(AG53,12)</f>
        <v>46447</v>
      </c>
      <c r="AH75" s="79">
        <f ca="1">IFERROR(INDEX('Core Inputs Interface'!$1:$1048576,MATCH($AE75,'Core Inputs Interface'!$H:$H,0),MATCH($AG75,'Core Inputs Interface'!$17:$17,0)),"")</f>
        <v>151</v>
      </c>
      <c r="AI75" s="55">
        <f t="shared" si="38"/>
        <v>0.41499999999999998</v>
      </c>
      <c r="AJ75" s="55" t="str">
        <f t="shared" si="34"/>
        <v>N/A</v>
      </c>
      <c r="AK75" s="55" t="str">
        <f t="shared" si="35"/>
        <v>N/A</v>
      </c>
      <c r="AL75" s="55" t="str">
        <f t="shared" ca="1" si="39"/>
        <v>N/A</v>
      </c>
      <c r="AM75" s="65">
        <f t="shared" ca="1" si="36"/>
        <v>0</v>
      </c>
      <c r="AN75" s="66">
        <f t="shared" ca="1" si="37"/>
        <v>62.664999999999999</v>
      </c>
      <c r="AO75" s="56">
        <f t="shared" ref="AO75:AO94" ca="1" si="41">IFERROR(AM75/AN75,0)</f>
        <v>0</v>
      </c>
      <c r="AP75" t="str">
        <f t="shared" si="24"/>
        <v>Residential Building - medium density_46447</v>
      </c>
      <c r="AQ75" t="str">
        <f t="shared" si="25"/>
        <v>Labour_46447</v>
      </c>
      <c r="AS75" s="281"/>
      <c r="DO75" s="281"/>
      <c r="EG75" s="281"/>
      <c r="EI75" s="85"/>
      <c r="EJ75" s="80"/>
      <c r="EK75" s="86"/>
      <c r="EL75" s="81"/>
      <c r="EM75" s="81"/>
      <c r="EN75" s="81"/>
      <c r="EO75" s="81"/>
      <c r="EP75" s="82"/>
      <c r="EQ75" s="87"/>
      <c r="ER75" s="97"/>
      <c r="ES75" s="88"/>
      <c r="FL75" s="281"/>
      <c r="FW75" s="281"/>
      <c r="GC75" s="281"/>
      <c r="GZ75" s="281"/>
      <c r="HN75" s="281"/>
      <c r="HY75" s="281"/>
    </row>
    <row r="76" spans="3:233" ht="15.6" thickTop="1" thickBot="1">
      <c r="C76" s="281"/>
      <c r="AC76" s="281"/>
      <c r="AE76" s="59" t="str">
        <f t="shared" si="31"/>
        <v>Residential Building - medium density</v>
      </c>
      <c r="AF76" s="59" t="str">
        <f t="shared" si="40"/>
        <v>Engineering design</v>
      </c>
      <c r="AG76" s="60">
        <f>AG75</f>
        <v>46447</v>
      </c>
      <c r="AH76" s="79">
        <f ca="1">IFERROR(INDEX('Core Inputs Interface'!$1:$1048576,MATCH($AE76,'Core Inputs Interface'!$H:$H,0),MATCH($AG76,'Core Inputs Interface'!$17:$17,0)),"")</f>
        <v>151</v>
      </c>
      <c r="AI76" s="55">
        <f t="shared" si="38"/>
        <v>0</v>
      </c>
      <c r="AJ76" s="55" t="str">
        <f t="shared" si="34"/>
        <v>N/A</v>
      </c>
      <c r="AK76" s="55" t="str">
        <f t="shared" si="35"/>
        <v>N/A</v>
      </c>
      <c r="AL76" s="55" t="str">
        <f t="shared" ca="1" si="39"/>
        <v>N/A</v>
      </c>
      <c r="AM76" s="65">
        <f t="shared" ca="1" si="36"/>
        <v>0</v>
      </c>
      <c r="AN76" s="66">
        <f t="shared" ca="1" si="37"/>
        <v>0</v>
      </c>
      <c r="AO76" s="56">
        <f t="shared" ca="1" si="41"/>
        <v>0</v>
      </c>
      <c r="AP76" t="str">
        <f t="shared" si="24"/>
        <v>Residential Building - medium density_46447</v>
      </c>
      <c r="AQ76" t="str">
        <f t="shared" si="25"/>
        <v>Engineering design_46447</v>
      </c>
      <c r="AS76" s="281"/>
      <c r="DO76" s="281"/>
      <c r="EG76" s="281"/>
      <c r="EI76" s="85"/>
      <c r="EJ76" s="80"/>
      <c r="EK76" s="86"/>
      <c r="EL76" s="81"/>
      <c r="EM76" s="81"/>
      <c r="EN76" s="81"/>
      <c r="EO76" s="81"/>
      <c r="EP76" s="82"/>
      <c r="EQ76" s="87"/>
      <c r="ER76" s="97"/>
      <c r="ES76" s="88"/>
      <c r="FL76" s="281"/>
      <c r="FW76" s="281"/>
      <c r="GC76" s="281"/>
      <c r="GZ76" s="281"/>
      <c r="HN76" s="281"/>
      <c r="HY76" s="281"/>
    </row>
    <row r="77" spans="3:233" ht="15.6" thickTop="1" thickBot="1">
      <c r="C77" s="281"/>
      <c r="AC77" s="281"/>
      <c r="AE77" s="59" t="str">
        <f t="shared" si="31"/>
        <v>Residential Building - medium density</v>
      </c>
      <c r="AF77" s="59" t="str">
        <f t="shared" si="40"/>
        <v>Reinforcing bar</v>
      </c>
      <c r="AG77" s="60">
        <f t="shared" ref="AG77:AG94" si="42">AG76</f>
        <v>46447</v>
      </c>
      <c r="AH77" s="79">
        <f ca="1">IFERROR(INDEX('Core Inputs Interface'!$1:$1048576,MATCH($AE77,'Core Inputs Interface'!$H:$H,0),MATCH($AG77,'Core Inputs Interface'!$17:$17,0)),"")</f>
        <v>151</v>
      </c>
      <c r="AI77" s="55">
        <f t="shared" si="38"/>
        <v>0.03</v>
      </c>
      <c r="AJ77" s="55">
        <f t="shared" si="34"/>
        <v>8.4066217963502693E-2</v>
      </c>
      <c r="AK77" s="55">
        <f t="shared" si="35"/>
        <v>0.6</v>
      </c>
      <c r="AL77" s="55">
        <f t="shared" ca="1" si="39"/>
        <v>0.25</v>
      </c>
      <c r="AM77" s="65">
        <f t="shared" ca="1" si="36"/>
        <v>5.7122995106200079E-2</v>
      </c>
      <c r="AN77" s="66">
        <f t="shared" ca="1" si="37"/>
        <v>4.53</v>
      </c>
      <c r="AO77" s="56">
        <f t="shared" ca="1" si="41"/>
        <v>1.2609932694525403E-2</v>
      </c>
      <c r="AP77" t="str">
        <f t="shared" si="24"/>
        <v>Residential Building - medium density_46447</v>
      </c>
      <c r="AQ77" t="str">
        <f t="shared" si="25"/>
        <v>Reinforcing bar_46447</v>
      </c>
      <c r="AS77" s="281"/>
      <c r="DO77" s="281"/>
      <c r="EG77" s="281"/>
      <c r="EI77" s="85"/>
      <c r="EJ77" s="80"/>
      <c r="EK77" s="86"/>
      <c r="EL77" s="81"/>
      <c r="EM77" s="81"/>
      <c r="EN77" s="81"/>
      <c r="EO77" s="81"/>
      <c r="EP77" s="82"/>
      <c r="EQ77" s="87"/>
      <c r="ER77" s="97"/>
      <c r="ES77" s="88"/>
      <c r="FL77" s="281"/>
      <c r="FW77" s="281"/>
      <c r="GC77" s="281"/>
      <c r="GZ77" s="281"/>
      <c r="HN77" s="281"/>
      <c r="HY77" s="281"/>
    </row>
    <row r="78" spans="3:233" ht="15.6" thickTop="1" thickBot="1">
      <c r="C78" s="281"/>
      <c r="AC78" s="281"/>
      <c r="AE78" s="59" t="str">
        <f t="shared" si="31"/>
        <v>Residential Building - medium density</v>
      </c>
      <c r="AF78" s="59" t="str">
        <f t="shared" si="40"/>
        <v>Structural steel</v>
      </c>
      <c r="AG78" s="60">
        <f t="shared" si="42"/>
        <v>46447</v>
      </c>
      <c r="AH78" s="79">
        <f ca="1">IFERROR(INDEX('Core Inputs Interface'!$1:$1048576,MATCH($AE78,'Core Inputs Interface'!$H:$H,0),MATCH($AG78,'Core Inputs Interface'!$17:$17,0)),"")</f>
        <v>151</v>
      </c>
      <c r="AI78" s="55">
        <f t="shared" si="38"/>
        <v>0.02</v>
      </c>
      <c r="AJ78" s="55">
        <f t="shared" si="34"/>
        <v>0.52500514810102583</v>
      </c>
      <c r="AK78" s="55">
        <f t="shared" si="35"/>
        <v>0.6</v>
      </c>
      <c r="AL78" s="55">
        <f t="shared" ca="1" si="39"/>
        <v>0.25</v>
      </c>
      <c r="AM78" s="65">
        <f t="shared" ca="1" si="36"/>
        <v>0.23782733208976467</v>
      </c>
      <c r="AN78" s="66">
        <f t="shared" ca="1" si="37"/>
        <v>3.02</v>
      </c>
      <c r="AO78" s="56">
        <f t="shared" ca="1" si="41"/>
        <v>7.8750772215153864E-2</v>
      </c>
      <c r="AP78" t="str">
        <f t="shared" ref="AP78:AP94" si="43">_xlfn.TEXTJOIN("_",,$AE78,$AG78)</f>
        <v>Residential Building - medium density_46447</v>
      </c>
      <c r="AQ78" t="str">
        <f t="shared" ref="AQ78:AQ94" si="44">_xlfn.TEXTJOIN("_",,$AF78,$AG78)</f>
        <v>Structural steel_46447</v>
      </c>
      <c r="AS78" s="281"/>
      <c r="DO78" s="281"/>
      <c r="EG78" s="281"/>
      <c r="EI78" s="85"/>
      <c r="EJ78" s="80"/>
      <c r="EK78" s="86"/>
      <c r="EL78" s="81"/>
      <c r="EM78" s="81"/>
      <c r="EN78" s="81"/>
      <c r="EO78" s="81"/>
      <c r="EP78" s="82"/>
      <c r="EQ78" s="87"/>
      <c r="ER78" s="97"/>
      <c r="ES78" s="88"/>
      <c r="FL78" s="281"/>
      <c r="FW78" s="281"/>
      <c r="GC78" s="281"/>
      <c r="GZ78" s="281"/>
      <c r="HN78" s="281"/>
      <c r="HY78" s="281"/>
    </row>
    <row r="79" spans="3:233" ht="15.6" thickTop="1" thickBot="1">
      <c r="C79" s="281"/>
      <c r="AC79" s="281"/>
      <c r="AE79" s="59" t="str">
        <f t="shared" si="31"/>
        <v>Residential Building - medium density</v>
      </c>
      <c r="AF79" s="59" t="str">
        <f t="shared" si="40"/>
        <v>Quarry Material</v>
      </c>
      <c r="AG79" s="60">
        <f t="shared" si="42"/>
        <v>46447</v>
      </c>
      <c r="AH79" s="79">
        <f ca="1">IFERROR(INDEX('Core Inputs Interface'!$1:$1048576,MATCH($AE79,'Core Inputs Interface'!$H:$H,0),MATCH($AG79,'Core Inputs Interface'!$17:$17,0)),"")</f>
        <v>151</v>
      </c>
      <c r="AI79" s="55">
        <f t="shared" si="38"/>
        <v>0</v>
      </c>
      <c r="AJ79" s="55">
        <f t="shared" si="34"/>
        <v>9.1004090556242881E-2</v>
      </c>
      <c r="AK79" s="55">
        <f t="shared" si="35"/>
        <v>0.6</v>
      </c>
      <c r="AL79" s="55">
        <f t="shared" ca="1" si="39"/>
        <v>0.25</v>
      </c>
      <c r="AM79" s="65">
        <f t="shared" ca="1" si="36"/>
        <v>0</v>
      </c>
      <c r="AN79" s="66">
        <f t="shared" ca="1" si="37"/>
        <v>0</v>
      </c>
      <c r="AO79" s="56">
        <f t="shared" ca="1" si="41"/>
        <v>0</v>
      </c>
      <c r="AP79" t="str">
        <f t="shared" si="43"/>
        <v>Residential Building - medium density_46447</v>
      </c>
      <c r="AQ79" t="str">
        <f t="shared" si="44"/>
        <v>Quarry Material_46447</v>
      </c>
      <c r="AS79" s="281"/>
      <c r="DO79" s="281"/>
      <c r="EG79" s="281"/>
      <c r="EI79" s="85"/>
      <c r="EJ79" s="80"/>
      <c r="EK79" s="86"/>
      <c r="EL79" s="81"/>
      <c r="EM79" s="81"/>
      <c r="EN79" s="81"/>
      <c r="EO79" s="81"/>
      <c r="EP79" s="82"/>
      <c r="EQ79" s="87"/>
      <c r="ER79" s="97"/>
      <c r="ES79" s="88"/>
      <c r="FL79" s="281"/>
      <c r="FW79" s="281"/>
      <c r="GC79" s="281"/>
      <c r="GZ79" s="281"/>
      <c r="HN79" s="281"/>
      <c r="HY79" s="281"/>
    </row>
    <row r="80" spans="3:233" ht="15.6" thickTop="1" thickBot="1">
      <c r="C80" s="281"/>
      <c r="AC80" s="281"/>
      <c r="AE80" s="59" t="str">
        <f t="shared" si="31"/>
        <v>Residential Building - medium density</v>
      </c>
      <c r="AF80" s="59" t="str">
        <f t="shared" si="40"/>
        <v>Concrete</v>
      </c>
      <c r="AG80" s="60">
        <f t="shared" si="42"/>
        <v>46447</v>
      </c>
      <c r="AH80" s="79">
        <f ca="1">IFERROR(INDEX('Core Inputs Interface'!$1:$1048576,MATCH($AE80,'Core Inputs Interface'!$H:$H,0),MATCH($AG80,'Core Inputs Interface'!$17:$17,0)),"")</f>
        <v>151</v>
      </c>
      <c r="AI80" s="55">
        <f t="shared" si="38"/>
        <v>0.04</v>
      </c>
      <c r="AJ80" s="55">
        <f t="shared" si="34"/>
        <v>1.1472584695084088E-2</v>
      </c>
      <c r="AK80" s="55">
        <f t="shared" si="35"/>
        <v>0.6</v>
      </c>
      <c r="AL80" s="55">
        <f t="shared" ca="1" si="39"/>
        <v>0.25</v>
      </c>
      <c r="AM80" s="65">
        <f t="shared" ca="1" si="36"/>
        <v>1.0394161733746184E-2</v>
      </c>
      <c r="AN80" s="66">
        <f t="shared" ca="1" si="37"/>
        <v>6.04</v>
      </c>
      <c r="AO80" s="56">
        <f t="shared" ca="1" si="41"/>
        <v>1.7208877042626132E-3</v>
      </c>
      <c r="AP80" t="str">
        <f t="shared" si="43"/>
        <v>Residential Building - medium density_46447</v>
      </c>
      <c r="AQ80" t="str">
        <f t="shared" si="44"/>
        <v>Concrete_46447</v>
      </c>
      <c r="AS80" s="281"/>
      <c r="DO80" s="281"/>
      <c r="EG80" s="281"/>
      <c r="EI80" s="85"/>
      <c r="EJ80" s="80"/>
      <c r="EK80" s="86"/>
      <c r="EL80" s="81"/>
      <c r="EM80" s="81"/>
      <c r="EN80" s="81"/>
      <c r="EO80" s="81"/>
      <c r="EP80" s="82"/>
      <c r="EQ80" s="87"/>
      <c r="ER80" s="97"/>
      <c r="ES80" s="88"/>
      <c r="FL80" s="281"/>
      <c r="FW80" s="281"/>
      <c r="GC80" s="281"/>
      <c r="GZ80" s="281"/>
      <c r="HN80" s="281"/>
      <c r="HY80" s="281"/>
    </row>
    <row r="81" spans="3:233" ht="15.6" thickTop="1" thickBot="1">
      <c r="C81" s="281"/>
      <c r="AC81" s="281"/>
      <c r="AE81" s="59" t="str">
        <f t="shared" si="31"/>
        <v>Residential Building - medium density</v>
      </c>
      <c r="AF81" s="59" t="str">
        <f t="shared" si="40"/>
        <v>Masonry</v>
      </c>
      <c r="AG81" s="60">
        <f t="shared" si="42"/>
        <v>46447</v>
      </c>
      <c r="AH81" s="79">
        <f ca="1">IFERROR(INDEX('Core Inputs Interface'!$1:$1048576,MATCH($AE81,'Core Inputs Interface'!$H:$H,0),MATCH($AG81,'Core Inputs Interface'!$17:$17,0)),"")</f>
        <v>151</v>
      </c>
      <c r="AI81" s="55">
        <f t="shared" si="38"/>
        <v>0.02</v>
      </c>
      <c r="AJ81" s="55">
        <f t="shared" si="34"/>
        <v>9.8410961434768088E-2</v>
      </c>
      <c r="AK81" s="55">
        <f t="shared" si="35"/>
        <v>0.6</v>
      </c>
      <c r="AL81" s="55">
        <f t="shared" ca="1" si="39"/>
        <v>0.25</v>
      </c>
      <c r="AM81" s="65">
        <f t="shared" ca="1" si="36"/>
        <v>4.4580165529949943E-2</v>
      </c>
      <c r="AN81" s="66">
        <f t="shared" ca="1" si="37"/>
        <v>3.02</v>
      </c>
      <c r="AO81" s="56">
        <f t="shared" ca="1" si="41"/>
        <v>1.4761644215215213E-2</v>
      </c>
      <c r="AP81" t="str">
        <f t="shared" si="43"/>
        <v>Residential Building - medium density_46447</v>
      </c>
      <c r="AQ81" t="str">
        <f t="shared" si="44"/>
        <v>Masonry_46447</v>
      </c>
      <c r="AS81" s="281"/>
      <c r="DO81" s="281"/>
      <c r="EG81" s="281"/>
      <c r="EI81" s="85"/>
      <c r="EJ81" s="80"/>
      <c r="EK81" s="86"/>
      <c r="EL81" s="81"/>
      <c r="EM81" s="81"/>
      <c r="EN81" s="81"/>
      <c r="EO81" s="81"/>
      <c r="EP81" s="82"/>
      <c r="EQ81" s="87"/>
      <c r="ER81" s="97"/>
      <c r="ES81" s="88"/>
      <c r="FL81" s="281"/>
      <c r="FW81" s="281"/>
      <c r="GC81" s="281"/>
      <c r="GZ81" s="281"/>
      <c r="HN81" s="281"/>
      <c r="HY81" s="281"/>
    </row>
    <row r="82" spans="3:233" ht="15.6" thickTop="1" thickBot="1">
      <c r="AE82" s="59" t="str">
        <f t="shared" si="31"/>
        <v>Residential Building - medium density</v>
      </c>
      <c r="AF82" s="59" t="str">
        <f t="shared" si="40"/>
        <v>Wood</v>
      </c>
      <c r="AG82" s="60">
        <f t="shared" si="42"/>
        <v>46447</v>
      </c>
      <c r="AH82" s="79">
        <f ca="1">IFERROR(INDEX('Core Inputs Interface'!$1:$1048576,MATCH($AE82,'Core Inputs Interface'!$H:$H,0),MATCH($AG82,'Core Inputs Interface'!$17:$17,0)),"")</f>
        <v>151</v>
      </c>
      <c r="AI82" s="55">
        <f t="shared" si="38"/>
        <v>0.18</v>
      </c>
      <c r="AJ82" s="55">
        <f t="shared" si="34"/>
        <v>0.13840817436677436</v>
      </c>
      <c r="AK82" s="55">
        <f t="shared" si="35"/>
        <v>0.6</v>
      </c>
      <c r="AL82" s="55">
        <f t="shared" ca="1" si="39"/>
        <v>0.25</v>
      </c>
      <c r="AM82" s="65">
        <f t="shared" ca="1" si="36"/>
        <v>0.56429012689333902</v>
      </c>
      <c r="AN82" s="66">
        <f t="shared" ca="1" si="37"/>
        <v>27.18</v>
      </c>
      <c r="AO82" s="56">
        <f t="shared" ca="1" si="41"/>
        <v>2.0761226155016153E-2</v>
      </c>
      <c r="AP82" t="str">
        <f t="shared" si="43"/>
        <v>Residential Building - medium density_46447</v>
      </c>
      <c r="AQ82" t="str">
        <f t="shared" si="44"/>
        <v>Wood_46447</v>
      </c>
      <c r="EI82" s="85"/>
      <c r="EJ82" s="80"/>
      <c r="EK82" s="86"/>
      <c r="EL82" s="81"/>
      <c r="EM82" s="81"/>
      <c r="EN82" s="81"/>
      <c r="EO82" s="81"/>
      <c r="EP82" s="82"/>
      <c r="EQ82" s="87"/>
      <c r="ER82" s="97"/>
      <c r="ES82" s="88"/>
    </row>
    <row r="83" spans="3:233" ht="15.6" thickTop="1" thickBot="1">
      <c r="AE83" s="59" t="str">
        <f t="shared" si="31"/>
        <v>Residential Building - medium density</v>
      </c>
      <c r="AF83" s="59" t="str">
        <f t="shared" si="40"/>
        <v>Electrical wire</v>
      </c>
      <c r="AG83" s="60">
        <f t="shared" si="42"/>
        <v>46447</v>
      </c>
      <c r="AH83" s="79">
        <f ca="1">IFERROR(INDEX('Core Inputs Interface'!$1:$1048576,MATCH($AE83,'Core Inputs Interface'!$H:$H,0),MATCH($AG83,'Core Inputs Interface'!$17:$17,0)),"")</f>
        <v>151</v>
      </c>
      <c r="AI83" s="55">
        <f t="shared" si="38"/>
        <v>0.02</v>
      </c>
      <c r="AJ83" s="55">
        <f t="shared" si="34"/>
        <v>0.80654510583379313</v>
      </c>
      <c r="AK83" s="55">
        <f t="shared" si="35"/>
        <v>0.6</v>
      </c>
      <c r="AL83" s="55">
        <f t="shared" ca="1" si="39"/>
        <v>0.25</v>
      </c>
      <c r="AM83" s="65">
        <f t="shared" ca="1" si="36"/>
        <v>0.36536493294270828</v>
      </c>
      <c r="AN83" s="66">
        <f t="shared" ca="1" si="37"/>
        <v>3.02</v>
      </c>
      <c r="AO83" s="56">
        <f t="shared" ca="1" si="41"/>
        <v>0.12098176587506897</v>
      </c>
      <c r="AP83" t="str">
        <f t="shared" si="43"/>
        <v>Residential Building - medium density_46447</v>
      </c>
      <c r="AQ83" t="str">
        <f t="shared" si="44"/>
        <v>Electrical wire_46447</v>
      </c>
      <c r="EI83" s="85"/>
      <c r="EJ83" s="80"/>
      <c r="EK83" s="86"/>
      <c r="EL83" s="81"/>
      <c r="EM83" s="81"/>
      <c r="EN83" s="81"/>
      <c r="EO83" s="81"/>
      <c r="EP83" s="82"/>
      <c r="EQ83" s="87"/>
      <c r="ER83" s="97"/>
      <c r="ES83" s="88"/>
    </row>
    <row r="84" spans="3:233" ht="15.6" thickTop="1" thickBot="1">
      <c r="AE84" s="59" t="str">
        <f t="shared" si="31"/>
        <v>Residential Building - medium density</v>
      </c>
      <c r="AF84" s="59" t="str">
        <f t="shared" si="40"/>
        <v>Glass</v>
      </c>
      <c r="AG84" s="60">
        <f t="shared" si="42"/>
        <v>46447</v>
      </c>
      <c r="AH84" s="79">
        <f ca="1">IFERROR(INDEX('Core Inputs Interface'!$1:$1048576,MATCH($AE84,'Core Inputs Interface'!$H:$H,0),MATCH($AG84,'Core Inputs Interface'!$17:$17,0)),"")</f>
        <v>151</v>
      </c>
      <c r="AI84" s="55">
        <f t="shared" si="38"/>
        <v>0.05</v>
      </c>
      <c r="AJ84" s="55">
        <f t="shared" si="34"/>
        <v>0.24210307145623419</v>
      </c>
      <c r="AK84" s="55">
        <f t="shared" si="35"/>
        <v>0.6</v>
      </c>
      <c r="AL84" s="55">
        <f t="shared" ca="1" si="39"/>
        <v>0.25</v>
      </c>
      <c r="AM84" s="65">
        <f t="shared" ca="1" si="36"/>
        <v>0.27418172842418526</v>
      </c>
      <c r="AN84" s="66">
        <f t="shared" ca="1" si="37"/>
        <v>7.5500000000000007</v>
      </c>
      <c r="AO84" s="56">
        <f t="shared" ca="1" si="41"/>
        <v>3.6315460718435132E-2</v>
      </c>
      <c r="AP84" t="str">
        <f t="shared" si="43"/>
        <v>Residential Building - medium density_46447</v>
      </c>
      <c r="AQ84" t="str">
        <f t="shared" si="44"/>
        <v>Glass_46447</v>
      </c>
    </row>
    <row r="85" spans="3:233" ht="15.6" thickTop="1" thickBot="1">
      <c r="AE85" s="59" t="str">
        <f t="shared" si="31"/>
        <v>Residential Building - medium density</v>
      </c>
      <c r="AF85" s="59" t="str">
        <f t="shared" si="40"/>
        <v>Roofing</v>
      </c>
      <c r="AG85" s="60">
        <f t="shared" si="42"/>
        <v>46447</v>
      </c>
      <c r="AH85" s="79">
        <f ca="1">IFERROR(INDEX('Core Inputs Interface'!$1:$1048576,MATCH($AE85,'Core Inputs Interface'!$H:$H,0),MATCH($AG85,'Core Inputs Interface'!$17:$17,0)),"")</f>
        <v>151</v>
      </c>
      <c r="AI85" s="55">
        <f t="shared" si="38"/>
        <v>7.0000000000000007E-2</v>
      </c>
      <c r="AJ85" s="55">
        <f t="shared" si="34"/>
        <v>2.4772729573316262E-4</v>
      </c>
      <c r="AK85" s="55">
        <f t="shared" si="35"/>
        <v>0.6</v>
      </c>
      <c r="AL85" s="55">
        <f t="shared" ca="1" si="39"/>
        <v>0.25</v>
      </c>
      <c r="AM85" s="65">
        <f t="shared" ca="1" si="36"/>
        <v>3.9277162738492931E-4</v>
      </c>
      <c r="AN85" s="66">
        <f t="shared" ca="1" si="37"/>
        <v>10.57</v>
      </c>
      <c r="AO85" s="56">
        <f t="shared" ca="1" si="41"/>
        <v>3.7159094359974391E-5</v>
      </c>
      <c r="AP85" t="str">
        <f t="shared" si="43"/>
        <v>Residential Building - medium density_46447</v>
      </c>
      <c r="AQ85" t="str">
        <f t="shared" si="44"/>
        <v>Roofing_46447</v>
      </c>
    </row>
    <row r="86" spans="3:233" ht="15.6" thickTop="1" thickBot="1">
      <c r="AE86" s="59" t="str">
        <f t="shared" si="31"/>
        <v>Residential Building - medium density</v>
      </c>
      <c r="AF86" s="59" t="str">
        <f t="shared" si="40"/>
        <v>Interior</v>
      </c>
      <c r="AG86" s="60">
        <f t="shared" si="42"/>
        <v>46447</v>
      </c>
      <c r="AH86" s="79">
        <f ca="1">IFERROR(INDEX('Core Inputs Interface'!$1:$1048576,MATCH($AE86,'Core Inputs Interface'!$H:$H,0),MATCH($AG86,'Core Inputs Interface'!$17:$17,0)),"")</f>
        <v>151</v>
      </c>
      <c r="AI86" s="55">
        <f t="shared" si="38"/>
        <v>0.04</v>
      </c>
      <c r="AJ86" s="55">
        <f t="shared" si="34"/>
        <v>0.54050345117059384</v>
      </c>
      <c r="AK86" s="55">
        <f t="shared" si="35"/>
        <v>0.6</v>
      </c>
      <c r="AL86" s="55">
        <f t="shared" ca="1" si="39"/>
        <v>0.25</v>
      </c>
      <c r="AM86" s="65">
        <f t="shared" ca="1" si="36"/>
        <v>0.48969612676055801</v>
      </c>
      <c r="AN86" s="66">
        <f t="shared" ca="1" si="37"/>
        <v>6.04</v>
      </c>
      <c r="AO86" s="56">
        <f t="shared" ca="1" si="41"/>
        <v>8.1075517675589071E-2</v>
      </c>
      <c r="AP86" t="str">
        <f t="shared" si="43"/>
        <v>Residential Building - medium density_46447</v>
      </c>
      <c r="AQ86" t="str">
        <f t="shared" si="44"/>
        <v>Interior_46447</v>
      </c>
    </row>
    <row r="87" spans="3:233" ht="15.6" thickTop="1" thickBot="1">
      <c r="AE87" s="59" t="str">
        <f t="shared" si="31"/>
        <v>Residential Building - medium density</v>
      </c>
      <c r="AF87" s="59" t="str">
        <f t="shared" si="40"/>
        <v>Bitumen</v>
      </c>
      <c r="AG87" s="60">
        <f t="shared" si="42"/>
        <v>46447</v>
      </c>
      <c r="AH87" s="79">
        <f ca="1">IFERROR(INDEX('Core Inputs Interface'!$1:$1048576,MATCH($AE87,'Core Inputs Interface'!$H:$H,0),MATCH($AG87,'Core Inputs Interface'!$17:$17,0)),"")</f>
        <v>151</v>
      </c>
      <c r="AI87" s="55">
        <f t="shared" si="38"/>
        <v>0</v>
      </c>
      <c r="AJ87" s="55">
        <f t="shared" si="34"/>
        <v>0.14985905317691026</v>
      </c>
      <c r="AK87" s="55">
        <f t="shared" si="35"/>
        <v>0.6</v>
      </c>
      <c r="AL87" s="55">
        <f t="shared" ca="1" si="39"/>
        <v>0.25</v>
      </c>
      <c r="AM87" s="65">
        <f t="shared" ca="1" si="36"/>
        <v>0</v>
      </c>
      <c r="AN87" s="66">
        <f t="shared" ca="1" si="37"/>
        <v>0</v>
      </c>
      <c r="AO87" s="56">
        <f t="shared" ca="1" si="41"/>
        <v>0</v>
      </c>
      <c r="AP87" t="str">
        <f t="shared" si="43"/>
        <v>Residential Building - medium density_46447</v>
      </c>
      <c r="AQ87" t="str">
        <f t="shared" si="44"/>
        <v>Bitumen_46447</v>
      </c>
    </row>
    <row r="88" spans="3:233" ht="15.6" thickTop="1" thickBot="1">
      <c r="AE88" s="59" t="str">
        <f t="shared" si="31"/>
        <v>Residential Building - medium density</v>
      </c>
      <c r="AF88" s="59" t="str">
        <f t="shared" si="40"/>
        <v>Polyethylene pipes</v>
      </c>
      <c r="AG88" s="60">
        <f t="shared" si="42"/>
        <v>46447</v>
      </c>
      <c r="AH88" s="79">
        <f ca="1">IFERROR(INDEX('Core Inputs Interface'!$1:$1048576,MATCH($AE88,'Core Inputs Interface'!$H:$H,0),MATCH($AG88,'Core Inputs Interface'!$17:$17,0)),"")</f>
        <v>151</v>
      </c>
      <c r="AI88" s="55">
        <f t="shared" si="38"/>
        <v>5.0000000000000001E-3</v>
      </c>
      <c r="AJ88" s="55">
        <f t="shared" si="34"/>
        <v>0.12828361767948987</v>
      </c>
      <c r="AK88" s="55">
        <f t="shared" si="35"/>
        <v>0.6</v>
      </c>
      <c r="AL88" s="55">
        <f t="shared" ca="1" si="39"/>
        <v>0.25</v>
      </c>
      <c r="AM88" s="65">
        <f t="shared" ca="1" si="36"/>
        <v>1.4528119702202226E-2</v>
      </c>
      <c r="AN88" s="66">
        <f t="shared" ca="1" si="37"/>
        <v>0.755</v>
      </c>
      <c r="AO88" s="56">
        <f t="shared" ca="1" si="41"/>
        <v>1.9242542651923478E-2</v>
      </c>
      <c r="AP88" t="str">
        <f t="shared" si="43"/>
        <v>Residential Building - medium density_46447</v>
      </c>
      <c r="AQ88" t="str">
        <f t="shared" si="44"/>
        <v>Polyethylene pipes_46447</v>
      </c>
    </row>
    <row r="89" spans="3:233" ht="15.6" thickTop="1" thickBot="1">
      <c r="AE89" s="59" t="str">
        <f t="shared" si="31"/>
        <v>Residential Building - medium density</v>
      </c>
      <c r="AF89" s="59" t="str">
        <f t="shared" si="40"/>
        <v>Plant and equipment</v>
      </c>
      <c r="AG89" s="60">
        <f t="shared" si="42"/>
        <v>46447</v>
      </c>
      <c r="AH89" s="79">
        <f ca="1">IFERROR(INDEX('Core Inputs Interface'!$1:$1048576,MATCH($AE89,'Core Inputs Interface'!$H:$H,0),MATCH($AG89,'Core Inputs Interface'!$17:$17,0)),"")</f>
        <v>151</v>
      </c>
      <c r="AI89" s="55">
        <f t="shared" si="38"/>
        <v>0.04</v>
      </c>
      <c r="AJ89" s="55">
        <f t="shared" si="34"/>
        <v>0.31546495432215926</v>
      </c>
      <c r="AK89" s="55">
        <f t="shared" si="35"/>
        <v>0.8</v>
      </c>
      <c r="AL89" s="55">
        <f t="shared" ca="1" si="39"/>
        <v>0.25</v>
      </c>
      <c r="AM89" s="65">
        <f t="shared" ca="1" si="36"/>
        <v>0.3810816648211684</v>
      </c>
      <c r="AN89" s="66">
        <f t="shared" ca="1" si="37"/>
        <v>6.04</v>
      </c>
      <c r="AO89" s="56">
        <f t="shared" ca="1" si="41"/>
        <v>6.3092990864431847E-2</v>
      </c>
      <c r="AP89" t="str">
        <f t="shared" si="43"/>
        <v>Residential Building - medium density_46447</v>
      </c>
      <c r="AQ89" t="str">
        <f t="shared" si="44"/>
        <v>Plant and equipment_46447</v>
      </c>
    </row>
    <row r="90" spans="3:233" ht="15.6" thickTop="1" thickBot="1">
      <c r="AE90" s="59" t="str">
        <f t="shared" si="31"/>
        <v>Residential Building - medium density</v>
      </c>
      <c r="AF90" s="59" t="str">
        <f t="shared" si="40"/>
        <v>Electrical equipment</v>
      </c>
      <c r="AG90" s="60">
        <f t="shared" si="42"/>
        <v>46447</v>
      </c>
      <c r="AH90" s="79">
        <f ca="1">IFERROR(INDEX('Core Inputs Interface'!$1:$1048576,MATCH($AE90,'Core Inputs Interface'!$H:$H,0),MATCH($AG90,'Core Inputs Interface'!$17:$17,0)),"")</f>
        <v>151</v>
      </c>
      <c r="AI90" s="55">
        <f t="shared" si="38"/>
        <v>0.02</v>
      </c>
      <c r="AJ90" s="55">
        <f t="shared" si="34"/>
        <v>0.48556692694591386</v>
      </c>
      <c r="AK90" s="55">
        <f t="shared" si="35"/>
        <v>0.8</v>
      </c>
      <c r="AL90" s="55">
        <f t="shared" ca="1" si="39"/>
        <v>0.25</v>
      </c>
      <c r="AM90" s="65">
        <f t="shared" ca="1" si="36"/>
        <v>0.29328242387533199</v>
      </c>
      <c r="AN90" s="66">
        <f t="shared" ca="1" si="37"/>
        <v>3.02</v>
      </c>
      <c r="AO90" s="56">
        <f t="shared" ca="1" si="41"/>
        <v>9.711338538918278E-2</v>
      </c>
      <c r="AP90" t="str">
        <f t="shared" si="43"/>
        <v>Residential Building - medium density_46447</v>
      </c>
      <c r="AQ90" t="str">
        <f t="shared" si="44"/>
        <v>Electrical equipment_46447</v>
      </c>
    </row>
    <row r="91" spans="3:233" ht="15.6" thickTop="1" thickBot="1">
      <c r="AE91" s="59" t="str">
        <f t="shared" si="31"/>
        <v>Residential Building - medium density</v>
      </c>
      <c r="AF91" s="59" t="str">
        <f t="shared" si="40"/>
        <v>Road equipment</v>
      </c>
      <c r="AG91" s="60">
        <f t="shared" si="42"/>
        <v>46447</v>
      </c>
      <c r="AH91" s="79">
        <f ca="1">IFERROR(INDEX('Core Inputs Interface'!$1:$1048576,MATCH($AE91,'Core Inputs Interface'!$H:$H,0),MATCH($AG91,'Core Inputs Interface'!$17:$17,0)),"")</f>
        <v>151</v>
      </c>
      <c r="AI91" s="55">
        <f t="shared" si="38"/>
        <v>0</v>
      </c>
      <c r="AJ91" s="55">
        <f t="shared" si="34"/>
        <v>0.23440288076987165</v>
      </c>
      <c r="AK91" s="55">
        <f t="shared" si="35"/>
        <v>0.8</v>
      </c>
      <c r="AL91" s="55">
        <f t="shared" ca="1" si="39"/>
        <v>0.25</v>
      </c>
      <c r="AM91" s="65">
        <f t="shared" ca="1" si="36"/>
        <v>0</v>
      </c>
      <c r="AN91" s="66">
        <f t="shared" ca="1" si="37"/>
        <v>0</v>
      </c>
      <c r="AO91" s="56">
        <f t="shared" ca="1" si="41"/>
        <v>0</v>
      </c>
      <c r="AP91" t="str">
        <f t="shared" si="43"/>
        <v>Residential Building - medium density_46447</v>
      </c>
      <c r="AQ91" t="str">
        <f t="shared" si="44"/>
        <v>Road equipment_46447</v>
      </c>
    </row>
    <row r="92" spans="3:233" ht="15.6" thickTop="1" thickBot="1">
      <c r="AE92" s="59" t="str">
        <f t="shared" si="31"/>
        <v>Residential Building - medium density</v>
      </c>
      <c r="AF92" s="59" t="str">
        <f t="shared" si="40"/>
        <v>Water equipment</v>
      </c>
      <c r="AG92" s="60">
        <f t="shared" si="42"/>
        <v>46447</v>
      </c>
      <c r="AH92" s="79">
        <f ca="1">IFERROR(INDEX('Core Inputs Interface'!$1:$1048576,MATCH($AE92,'Core Inputs Interface'!$H:$H,0),MATCH($AG92,'Core Inputs Interface'!$17:$17,0)),"")</f>
        <v>151</v>
      </c>
      <c r="AI92" s="55">
        <f t="shared" si="38"/>
        <v>0</v>
      </c>
      <c r="AJ92" s="55">
        <f t="shared" si="34"/>
        <v>0.53411483886586031</v>
      </c>
      <c r="AK92" s="55">
        <f t="shared" si="35"/>
        <v>0.8</v>
      </c>
      <c r="AL92" s="55">
        <f t="shared" ca="1" si="39"/>
        <v>0.25</v>
      </c>
      <c r="AM92" s="65">
        <f t="shared" ca="1" si="36"/>
        <v>0</v>
      </c>
      <c r="AN92" s="66">
        <f t="shared" ca="1" si="37"/>
        <v>0</v>
      </c>
      <c r="AO92" s="56">
        <f t="shared" ca="1" si="41"/>
        <v>0</v>
      </c>
      <c r="AP92" t="str">
        <f t="shared" si="43"/>
        <v>Residential Building - medium density_46447</v>
      </c>
      <c r="AQ92" t="str">
        <f t="shared" si="44"/>
        <v>Water equipment_46447</v>
      </c>
    </row>
    <row r="93" spans="3:233" ht="15.6" thickTop="1" thickBot="1">
      <c r="AE93" s="59" t="str">
        <f t="shared" si="31"/>
        <v>Residential Building - medium density</v>
      </c>
      <c r="AF93" s="59" t="str">
        <f t="shared" si="40"/>
        <v>Diesel</v>
      </c>
      <c r="AG93" s="60">
        <f t="shared" si="42"/>
        <v>46447</v>
      </c>
      <c r="AH93" s="79">
        <f ca="1">IFERROR(INDEX('Core Inputs Interface'!$1:$1048576,MATCH($AE93,'Core Inputs Interface'!$H:$H,0),MATCH($AG93,'Core Inputs Interface'!$17:$17,0)),"")</f>
        <v>151</v>
      </c>
      <c r="AI93" s="55">
        <f t="shared" si="38"/>
        <v>0.05</v>
      </c>
      <c r="AJ93" s="55">
        <f t="shared" si="34"/>
        <v>0.45356302165418505</v>
      </c>
      <c r="AK93" s="55">
        <f t="shared" si="35"/>
        <v>0.6</v>
      </c>
      <c r="AL93" s="55">
        <f t="shared" ca="1" si="39"/>
        <v>0.1</v>
      </c>
      <c r="AM93" s="65">
        <f t="shared" ca="1" si="36"/>
        <v>0.20546404880934582</v>
      </c>
      <c r="AN93" s="66">
        <f t="shared" ca="1" si="37"/>
        <v>7.5500000000000007</v>
      </c>
      <c r="AO93" s="56">
        <f t="shared" ca="1" si="41"/>
        <v>2.7213781299251099E-2</v>
      </c>
      <c r="AP93" t="str">
        <f t="shared" si="43"/>
        <v>Residential Building - medium density_46447</v>
      </c>
      <c r="AQ93" t="str">
        <f t="shared" si="44"/>
        <v>Diesel_46447</v>
      </c>
    </row>
    <row r="94" spans="3:233" ht="15.6" thickTop="1" thickBot="1">
      <c r="AE94" s="59" t="str">
        <f t="shared" si="31"/>
        <v>Residential Building - medium density</v>
      </c>
      <c r="AF94" s="59" t="str">
        <f t="shared" si="40"/>
        <v>Vehicles</v>
      </c>
      <c r="AG94" s="60">
        <f t="shared" si="42"/>
        <v>46447</v>
      </c>
      <c r="AH94" s="79">
        <f ca="1">IFERROR(INDEX('Core Inputs Interface'!$1:$1048576,MATCH($AE94,'Core Inputs Interface'!$H:$H,0),MATCH($AG94,'Core Inputs Interface'!$17:$17,0)),"")</f>
        <v>151</v>
      </c>
      <c r="AI94" s="55">
        <f t="shared" si="38"/>
        <v>0</v>
      </c>
      <c r="AJ94" s="55">
        <f t="shared" si="34"/>
        <v>0.52451068102476561</v>
      </c>
      <c r="AK94" s="55">
        <f t="shared" si="35"/>
        <v>0.8</v>
      </c>
      <c r="AL94" s="55">
        <f t="shared" ca="1" si="39"/>
        <v>0.25</v>
      </c>
      <c r="AM94" s="65">
        <f t="shared" ca="1" si="36"/>
        <v>0</v>
      </c>
      <c r="AN94" s="66">
        <f t="shared" ca="1" si="37"/>
        <v>0</v>
      </c>
      <c r="AO94" s="56">
        <f t="shared" ca="1" si="41"/>
        <v>0</v>
      </c>
      <c r="AP94" t="str">
        <f t="shared" si="43"/>
        <v>Residential Building - medium density_46447</v>
      </c>
      <c r="AQ94" t="str">
        <f t="shared" si="44"/>
        <v>Vehicles_46447</v>
      </c>
    </row>
    <row r="95" spans="3:233" ht="15.6" thickTop="1" thickBot="1">
      <c r="AE95" s="59" t="str">
        <f>AE94</f>
        <v>Residential Building - medium density</v>
      </c>
      <c r="AF95" s="59" t="str">
        <f t="shared" ref="AF95:AF96" si="45">AF73</f>
        <v>Machinery &amp; Equipment</v>
      </c>
      <c r="AG95" s="60">
        <f>AG94</f>
        <v>46447</v>
      </c>
      <c r="AH95" s="79">
        <f ca="1">IFERROR(INDEX('Core Inputs Interface'!$1:$1048576,MATCH($AE95,'Core Inputs Interface'!$H:$H,0),MATCH($AG95,'Core Inputs Interface'!$17:$17,0)),"")</f>
        <v>151</v>
      </c>
      <c r="AI95" s="55">
        <f t="shared" si="38"/>
        <v>0</v>
      </c>
      <c r="AJ95" s="55">
        <f t="shared" si="34"/>
        <v>0.39238740022595126</v>
      </c>
      <c r="AK95" s="55">
        <f t="shared" si="35"/>
        <v>0.8</v>
      </c>
      <c r="AL95" s="55">
        <f t="shared" ca="1" si="39"/>
        <v>0.25</v>
      </c>
      <c r="AM95" s="65">
        <f t="shared" ca="1" si="36"/>
        <v>0</v>
      </c>
      <c r="AN95" s="66">
        <f t="shared" ca="1" si="37"/>
        <v>0</v>
      </c>
      <c r="AO95" s="56">
        <f ca="1">IFERROR(AM95/AN95,0)</f>
        <v>0</v>
      </c>
      <c r="AP95" t="str">
        <f>_xlfn.TEXTJOIN("_",,$AE95,$AG95)</f>
        <v>Residential Building - medium density_46447</v>
      </c>
      <c r="AQ95" t="str">
        <f>_xlfn.TEXTJOIN("_",,$AF95,$AG95)</f>
        <v>Machinery &amp; Equipment_46447</v>
      </c>
    </row>
    <row r="96" spans="3:233" ht="15.6" thickTop="1" thickBot="1">
      <c r="AE96" s="59" t="str">
        <f>AE95</f>
        <v>Residential Building - medium density</v>
      </c>
      <c r="AF96" s="59" t="str">
        <f t="shared" si="45"/>
        <v>Office Equipment &amp; IT</v>
      </c>
      <c r="AG96" s="60">
        <f>AG95</f>
        <v>46447</v>
      </c>
      <c r="AH96" s="79">
        <f ca="1">IFERROR(INDEX('Core Inputs Interface'!$1:$1048576,MATCH($AE96,'Core Inputs Interface'!$H:$H,0),MATCH($AG96,'Core Inputs Interface'!$17:$17,0)),"")</f>
        <v>151</v>
      </c>
      <c r="AI96" s="55">
        <f t="shared" si="38"/>
        <v>0</v>
      </c>
      <c r="AJ96" s="55">
        <f t="shared" si="34"/>
        <v>0.15</v>
      </c>
      <c r="AK96" s="55">
        <f t="shared" si="35"/>
        <v>0.8</v>
      </c>
      <c r="AL96" s="55">
        <f t="shared" ca="1" si="39"/>
        <v>0.25</v>
      </c>
      <c r="AM96" s="65">
        <f t="shared" ca="1" si="36"/>
        <v>0</v>
      </c>
      <c r="AN96" s="66">
        <f t="shared" ca="1" si="37"/>
        <v>0</v>
      </c>
      <c r="AO96" s="56">
        <f ca="1">IFERROR(AM96/AN96,0)</f>
        <v>0</v>
      </c>
      <c r="AP96" t="str">
        <f>_xlfn.TEXTJOIN("_",,$AE96,$AG96)</f>
        <v>Residential Building - medium density_46447</v>
      </c>
      <c r="AQ96" t="str">
        <f>_xlfn.TEXTJOIN("_",,$AF96,$AG96)</f>
        <v>Office Equipment &amp; IT_46447</v>
      </c>
    </row>
    <row r="97" spans="30:43" ht="15.6" thickTop="1" thickBot="1">
      <c r="AD97">
        <f>AD53+1</f>
        <v>3</v>
      </c>
      <c r="AE97" s="57" t="str" cm="1">
        <f t="array" ref="AE97">INDEX($F$8:$Q$8,$AD97)</f>
        <v>Residential Building - low density</v>
      </c>
      <c r="AF97" s="58" t="s">
        <v>66</v>
      </c>
      <c r="AG97" s="62">
        <v>46082</v>
      </c>
      <c r="AH97" s="79">
        <f ca="1">IFERROR(INDEX('Core Inputs Interface'!$1:$1048576,MATCH($AE97,'Core Inputs Interface'!$H:$H,0),MATCH($AG97,'Core Inputs Interface'!$17:$17,0)),"")</f>
        <v>14</v>
      </c>
      <c r="AI97" s="55">
        <f t="shared" si="38"/>
        <v>0.41499999999999998</v>
      </c>
      <c r="AJ97" s="55" t="str">
        <f t="shared" si="34"/>
        <v>N/A</v>
      </c>
      <c r="AK97" s="55" t="str">
        <f t="shared" si="35"/>
        <v>N/A</v>
      </c>
      <c r="AL97" s="55" t="str">
        <f t="shared" ca="1" si="39"/>
        <v>N/A</v>
      </c>
      <c r="AM97" s="65">
        <f t="shared" ca="1" si="36"/>
        <v>0</v>
      </c>
      <c r="AN97" s="66">
        <f t="shared" ca="1" si="37"/>
        <v>5.81</v>
      </c>
      <c r="AO97" s="56">
        <f ca="1">IFERROR(AM97/AN97,0)</f>
        <v>0</v>
      </c>
      <c r="AP97" t="str">
        <f>_xlfn.TEXTJOIN("_",,$AE97,$AG97)</f>
        <v>Residential Building - low density_46082</v>
      </c>
      <c r="AQ97" t="str">
        <f>_xlfn.TEXTJOIN("_",,$AF97,$AG97)</f>
        <v>Labour_46082</v>
      </c>
    </row>
    <row r="98" spans="30:43" ht="15.6" thickTop="1" thickBot="1">
      <c r="AE98" s="59" t="str">
        <f>AE97</f>
        <v>Residential Building - low density</v>
      </c>
      <c r="AF98" s="58" t="s">
        <v>67</v>
      </c>
      <c r="AG98" s="60">
        <f>AG97</f>
        <v>46082</v>
      </c>
      <c r="AH98" s="79">
        <f ca="1">IFERROR(INDEX('Core Inputs Interface'!$1:$1048576,MATCH($AE98,'Core Inputs Interface'!$H:$H,0),MATCH($AG98,'Core Inputs Interface'!$17:$17,0)),"")</f>
        <v>14</v>
      </c>
      <c r="AI98" s="55">
        <f t="shared" si="38"/>
        <v>0</v>
      </c>
      <c r="AJ98" s="55" t="str">
        <f t="shared" si="34"/>
        <v>N/A</v>
      </c>
      <c r="AK98" s="55" t="str">
        <f t="shared" si="35"/>
        <v>N/A</v>
      </c>
      <c r="AL98" s="55" t="str">
        <f t="shared" ca="1" si="39"/>
        <v>N/A</v>
      </c>
      <c r="AM98" s="65">
        <f t="shared" ca="1" si="36"/>
        <v>0</v>
      </c>
      <c r="AN98" s="66">
        <f t="shared" ca="1" si="37"/>
        <v>0</v>
      </c>
      <c r="AO98" s="56">
        <f t="shared" ref="AO98:AO116" ca="1" si="46">IFERROR(AM98/AN98,0)</f>
        <v>0</v>
      </c>
      <c r="AP98" t="str">
        <f t="shared" ref="AP98:AP138" si="47">_xlfn.TEXTJOIN("_",,$AE98,$AG98)</f>
        <v>Residential Building - low density_46082</v>
      </c>
      <c r="AQ98" t="str">
        <f t="shared" ref="AQ98:AQ138" si="48">_xlfn.TEXTJOIN("_",,$AF98,$AG98)</f>
        <v>Engineering design_46082</v>
      </c>
    </row>
    <row r="99" spans="30:43" ht="15.6" thickTop="1" thickBot="1">
      <c r="AE99" s="59" t="str">
        <f t="shared" ref="AE99:AE138" si="49">AE98</f>
        <v>Residential Building - low density</v>
      </c>
      <c r="AF99" s="58" t="s">
        <v>26</v>
      </c>
      <c r="AG99" s="60">
        <f t="shared" ref="AG99:AG116" si="50">AG98</f>
        <v>46082</v>
      </c>
      <c r="AH99" s="79">
        <f ca="1">IFERROR(INDEX('Core Inputs Interface'!$1:$1048576,MATCH($AE99,'Core Inputs Interface'!$H:$H,0),MATCH($AG99,'Core Inputs Interface'!$17:$17,0)),"")</f>
        <v>14</v>
      </c>
      <c r="AI99" s="55">
        <f t="shared" si="38"/>
        <v>0.02</v>
      </c>
      <c r="AJ99" s="55">
        <f t="shared" si="34"/>
        <v>8.4066217963502693E-2</v>
      </c>
      <c r="AK99" s="55">
        <f t="shared" si="35"/>
        <v>0.6</v>
      </c>
      <c r="AL99" s="55">
        <f t="shared" ca="1" si="39"/>
        <v>0.25</v>
      </c>
      <c r="AM99" s="65">
        <f t="shared" ca="1" si="36"/>
        <v>3.5307811544671133E-3</v>
      </c>
      <c r="AN99" s="66">
        <f t="shared" ca="1" si="37"/>
        <v>0.28000000000000003</v>
      </c>
      <c r="AO99" s="56">
        <f t="shared" ca="1" si="46"/>
        <v>1.2609932694525403E-2</v>
      </c>
      <c r="AP99" t="str">
        <f t="shared" si="47"/>
        <v>Residential Building - low density_46082</v>
      </c>
      <c r="AQ99" t="str">
        <f t="shared" si="48"/>
        <v>Reinforcing bar_46082</v>
      </c>
    </row>
    <row r="100" spans="30:43" ht="15.6" thickTop="1" thickBot="1">
      <c r="AE100" s="59" t="str">
        <f t="shared" si="49"/>
        <v>Residential Building - low density</v>
      </c>
      <c r="AF100" s="58" t="s">
        <v>27</v>
      </c>
      <c r="AG100" s="60">
        <f t="shared" si="50"/>
        <v>46082</v>
      </c>
      <c r="AH100" s="79">
        <f ca="1">IFERROR(INDEX('Core Inputs Interface'!$1:$1048576,MATCH($AE100,'Core Inputs Interface'!$H:$H,0),MATCH($AG100,'Core Inputs Interface'!$17:$17,0)),"")</f>
        <v>14</v>
      </c>
      <c r="AI100" s="55">
        <f t="shared" si="38"/>
        <v>0.01</v>
      </c>
      <c r="AJ100" s="55">
        <f t="shared" si="34"/>
        <v>0.52500514810102583</v>
      </c>
      <c r="AK100" s="55">
        <f t="shared" si="35"/>
        <v>0.6</v>
      </c>
      <c r="AL100" s="55">
        <f t="shared" ca="1" si="39"/>
        <v>0.25</v>
      </c>
      <c r="AM100" s="65">
        <f t="shared" ca="1" si="36"/>
        <v>1.1025108110121544E-2</v>
      </c>
      <c r="AN100" s="66">
        <f t="shared" ca="1" si="37"/>
        <v>0.14000000000000001</v>
      </c>
      <c r="AO100" s="56">
        <f t="shared" ca="1" si="46"/>
        <v>7.8750772215153877E-2</v>
      </c>
      <c r="AP100" t="str">
        <f t="shared" si="47"/>
        <v>Residential Building - low density_46082</v>
      </c>
      <c r="AQ100" t="str">
        <f t="shared" si="48"/>
        <v>Structural steel_46082</v>
      </c>
    </row>
    <row r="101" spans="30:43" ht="15.6" thickTop="1" thickBot="1">
      <c r="AE101" s="59" t="str">
        <f t="shared" si="49"/>
        <v>Residential Building - low density</v>
      </c>
      <c r="AF101" s="58" t="s">
        <v>28</v>
      </c>
      <c r="AG101" s="60">
        <f t="shared" si="50"/>
        <v>46082</v>
      </c>
      <c r="AH101" s="79">
        <f ca="1">IFERROR(INDEX('Core Inputs Interface'!$1:$1048576,MATCH($AE101,'Core Inputs Interface'!$H:$H,0),MATCH($AG101,'Core Inputs Interface'!$17:$17,0)),"")</f>
        <v>14</v>
      </c>
      <c r="AI101" s="55">
        <f t="shared" si="38"/>
        <v>0</v>
      </c>
      <c r="AJ101" s="55">
        <f t="shared" si="34"/>
        <v>9.1004090556242881E-2</v>
      </c>
      <c r="AK101" s="55">
        <f t="shared" si="35"/>
        <v>0.6</v>
      </c>
      <c r="AL101" s="55">
        <f t="shared" ca="1" si="39"/>
        <v>0.25</v>
      </c>
      <c r="AM101" s="65">
        <f t="shared" ca="1" si="36"/>
        <v>0</v>
      </c>
      <c r="AN101" s="66">
        <f t="shared" ca="1" si="37"/>
        <v>0</v>
      </c>
      <c r="AO101" s="56">
        <f t="shared" ca="1" si="46"/>
        <v>0</v>
      </c>
      <c r="AP101" t="str">
        <f t="shared" si="47"/>
        <v>Residential Building - low density_46082</v>
      </c>
      <c r="AQ101" t="str">
        <f t="shared" si="48"/>
        <v>Quarry Material_46082</v>
      </c>
    </row>
    <row r="102" spans="30:43" ht="15.6" thickTop="1" thickBot="1">
      <c r="AE102" s="59" t="str">
        <f t="shared" si="49"/>
        <v>Residential Building - low density</v>
      </c>
      <c r="AF102" s="58" t="s">
        <v>30</v>
      </c>
      <c r="AG102" s="60">
        <f t="shared" si="50"/>
        <v>46082</v>
      </c>
      <c r="AH102" s="79">
        <f ca="1">IFERROR(INDEX('Core Inputs Interface'!$1:$1048576,MATCH($AE102,'Core Inputs Interface'!$H:$H,0),MATCH($AG102,'Core Inputs Interface'!$17:$17,0)),"")</f>
        <v>14</v>
      </c>
      <c r="AI102" s="55">
        <f t="shared" si="38"/>
        <v>0.04</v>
      </c>
      <c r="AJ102" s="55">
        <f t="shared" si="34"/>
        <v>1.1472584695084088E-2</v>
      </c>
      <c r="AK102" s="55">
        <f t="shared" si="35"/>
        <v>0.6</v>
      </c>
      <c r="AL102" s="55">
        <f t="shared" ca="1" si="39"/>
        <v>0.25</v>
      </c>
      <c r="AM102" s="65">
        <f t="shared" ca="1" si="36"/>
        <v>9.6369711438706353E-4</v>
      </c>
      <c r="AN102" s="66">
        <f t="shared" ca="1" si="37"/>
        <v>0.56000000000000005</v>
      </c>
      <c r="AO102" s="56">
        <f t="shared" ca="1" si="46"/>
        <v>1.7208877042626132E-3</v>
      </c>
      <c r="AP102" t="str">
        <f t="shared" si="47"/>
        <v>Residential Building - low density_46082</v>
      </c>
      <c r="AQ102" t="str">
        <f t="shared" si="48"/>
        <v>Concrete_46082</v>
      </c>
    </row>
    <row r="103" spans="30:43" ht="15.6" thickTop="1" thickBot="1">
      <c r="AE103" s="59" t="str">
        <f t="shared" si="49"/>
        <v>Residential Building - low density</v>
      </c>
      <c r="AF103" s="57" t="s">
        <v>32</v>
      </c>
      <c r="AG103" s="60">
        <f t="shared" si="50"/>
        <v>46082</v>
      </c>
      <c r="AH103" s="79">
        <f ca="1">IFERROR(INDEX('Core Inputs Interface'!$1:$1048576,MATCH($AE103,'Core Inputs Interface'!$H:$H,0),MATCH($AG103,'Core Inputs Interface'!$17:$17,0)),"")</f>
        <v>14</v>
      </c>
      <c r="AI103" s="55">
        <f t="shared" si="38"/>
        <v>0.03</v>
      </c>
      <c r="AJ103" s="55">
        <f t="shared" si="34"/>
        <v>9.8410961434768088E-2</v>
      </c>
      <c r="AK103" s="55">
        <f t="shared" si="35"/>
        <v>0.6</v>
      </c>
      <c r="AL103" s="55">
        <f t="shared" ca="1" si="39"/>
        <v>0.25</v>
      </c>
      <c r="AM103" s="65">
        <f t="shared" ca="1" si="36"/>
        <v>6.1998905703903899E-3</v>
      </c>
      <c r="AN103" s="66">
        <f t="shared" ca="1" si="37"/>
        <v>0.42</v>
      </c>
      <c r="AO103" s="56">
        <f t="shared" ca="1" si="46"/>
        <v>1.4761644215215215E-2</v>
      </c>
      <c r="AP103" t="str">
        <f t="shared" si="47"/>
        <v>Residential Building - low density_46082</v>
      </c>
      <c r="AQ103" t="str">
        <f t="shared" si="48"/>
        <v>Masonry_46082</v>
      </c>
    </row>
    <row r="104" spans="30:43" ht="15.6" thickTop="1" thickBot="1">
      <c r="AE104" s="59" t="str">
        <f t="shared" si="49"/>
        <v>Residential Building - low density</v>
      </c>
      <c r="AF104" s="57" t="s">
        <v>34</v>
      </c>
      <c r="AG104" s="60">
        <f t="shared" si="50"/>
        <v>46082</v>
      </c>
      <c r="AH104" s="79">
        <f ca="1">IFERROR(INDEX('Core Inputs Interface'!$1:$1048576,MATCH($AE104,'Core Inputs Interface'!$H:$H,0),MATCH($AG104,'Core Inputs Interface'!$17:$17,0)),"")</f>
        <v>14</v>
      </c>
      <c r="AI104" s="55">
        <f t="shared" si="38"/>
        <v>0.2</v>
      </c>
      <c r="AJ104" s="55">
        <f t="shared" si="34"/>
        <v>0.13840817436677436</v>
      </c>
      <c r="AK104" s="55">
        <f t="shared" si="35"/>
        <v>0.6</v>
      </c>
      <c r="AL104" s="55">
        <f t="shared" ca="1" si="39"/>
        <v>0.25</v>
      </c>
      <c r="AM104" s="65">
        <f t="shared" ca="1" si="36"/>
        <v>5.8131433234045238E-2</v>
      </c>
      <c r="AN104" s="66">
        <f t="shared" ca="1" si="37"/>
        <v>2.8000000000000003</v>
      </c>
      <c r="AO104" s="56">
        <f t="shared" ca="1" si="46"/>
        <v>2.0761226155016153E-2</v>
      </c>
      <c r="AP104" t="str">
        <f t="shared" si="47"/>
        <v>Residential Building - low density_46082</v>
      </c>
      <c r="AQ104" t="str">
        <f t="shared" si="48"/>
        <v>Wood_46082</v>
      </c>
    </row>
    <row r="105" spans="30:43" ht="15.6" thickTop="1" thickBot="1">
      <c r="AE105" s="59" t="str">
        <f t="shared" si="49"/>
        <v>Residential Building - low density</v>
      </c>
      <c r="AF105" s="57" t="s">
        <v>36</v>
      </c>
      <c r="AG105" s="60">
        <f t="shared" si="50"/>
        <v>46082</v>
      </c>
      <c r="AH105" s="79">
        <f ca="1">IFERROR(INDEX('Core Inputs Interface'!$1:$1048576,MATCH($AE105,'Core Inputs Interface'!$H:$H,0),MATCH($AG105,'Core Inputs Interface'!$17:$17,0)),"")</f>
        <v>14</v>
      </c>
      <c r="AI105" s="55">
        <f t="shared" si="38"/>
        <v>0.02</v>
      </c>
      <c r="AJ105" s="55">
        <f t="shared" si="34"/>
        <v>0.80654510583379313</v>
      </c>
      <c r="AK105" s="55">
        <f t="shared" si="35"/>
        <v>0.6</v>
      </c>
      <c r="AL105" s="55">
        <f t="shared" ca="1" si="39"/>
        <v>0.25</v>
      </c>
      <c r="AM105" s="65">
        <f t="shared" ca="1" si="36"/>
        <v>3.3874894445019316E-2</v>
      </c>
      <c r="AN105" s="66">
        <f t="shared" ca="1" si="37"/>
        <v>0.28000000000000003</v>
      </c>
      <c r="AO105" s="56">
        <f t="shared" ca="1" si="46"/>
        <v>0.12098176587506897</v>
      </c>
      <c r="AP105" t="str">
        <f t="shared" si="47"/>
        <v>Residential Building - low density_46082</v>
      </c>
      <c r="AQ105" t="str">
        <f t="shared" si="48"/>
        <v>Electrical wire_46082</v>
      </c>
    </row>
    <row r="106" spans="30:43" ht="15.6" thickTop="1" thickBot="1">
      <c r="AE106" s="59" t="str">
        <f t="shared" si="49"/>
        <v>Residential Building - low density</v>
      </c>
      <c r="AF106" s="57" t="s">
        <v>38</v>
      </c>
      <c r="AG106" s="60">
        <f t="shared" si="50"/>
        <v>46082</v>
      </c>
      <c r="AH106" s="79">
        <f ca="1">IFERROR(INDEX('Core Inputs Interface'!$1:$1048576,MATCH($AE106,'Core Inputs Interface'!$H:$H,0),MATCH($AG106,'Core Inputs Interface'!$17:$17,0)),"")</f>
        <v>14</v>
      </c>
      <c r="AI106" s="55">
        <f t="shared" si="38"/>
        <v>0.04</v>
      </c>
      <c r="AJ106" s="55">
        <f t="shared" si="34"/>
        <v>0.24210307145623419</v>
      </c>
      <c r="AK106" s="55">
        <f t="shared" si="35"/>
        <v>0.6</v>
      </c>
      <c r="AL106" s="55">
        <f t="shared" ca="1" si="39"/>
        <v>0.25</v>
      </c>
      <c r="AM106" s="65">
        <f t="shared" ca="1" si="36"/>
        <v>2.0336658002323673E-2</v>
      </c>
      <c r="AN106" s="66">
        <f t="shared" ca="1" si="37"/>
        <v>0.56000000000000005</v>
      </c>
      <c r="AO106" s="56">
        <f t="shared" ca="1" si="46"/>
        <v>3.6315460718435125E-2</v>
      </c>
      <c r="AP106" t="str">
        <f t="shared" si="47"/>
        <v>Residential Building - low density_46082</v>
      </c>
      <c r="AQ106" t="str">
        <f t="shared" si="48"/>
        <v>Glass_46082</v>
      </c>
    </row>
    <row r="107" spans="30:43" ht="15.6" thickTop="1" thickBot="1">
      <c r="AE107" s="59" t="str">
        <f t="shared" si="49"/>
        <v>Residential Building - low density</v>
      </c>
      <c r="AF107" s="57" t="s">
        <v>40</v>
      </c>
      <c r="AG107" s="60">
        <f t="shared" si="50"/>
        <v>46082</v>
      </c>
      <c r="AH107" s="79">
        <f ca="1">IFERROR(INDEX('Core Inputs Interface'!$1:$1048576,MATCH($AE107,'Core Inputs Interface'!$H:$H,0),MATCH($AG107,'Core Inputs Interface'!$17:$17,0)),"")</f>
        <v>14</v>
      </c>
      <c r="AI107" s="55">
        <f t="shared" si="38"/>
        <v>0.08</v>
      </c>
      <c r="AJ107" s="55">
        <f t="shared" si="34"/>
        <v>2.4772729573316262E-4</v>
      </c>
      <c r="AK107" s="55">
        <f t="shared" si="35"/>
        <v>0.6</v>
      </c>
      <c r="AL107" s="55">
        <f t="shared" ca="1" si="39"/>
        <v>0.25</v>
      </c>
      <c r="AM107" s="65">
        <f t="shared" ca="1" si="36"/>
        <v>4.1618185683171327E-5</v>
      </c>
      <c r="AN107" s="66">
        <f t="shared" ca="1" si="37"/>
        <v>1.1200000000000001</v>
      </c>
      <c r="AO107" s="56">
        <f t="shared" ca="1" si="46"/>
        <v>3.7159094359974398E-5</v>
      </c>
      <c r="AP107" t="str">
        <f t="shared" si="47"/>
        <v>Residential Building - low density_46082</v>
      </c>
      <c r="AQ107" t="str">
        <f t="shared" si="48"/>
        <v>Roofing_46082</v>
      </c>
    </row>
    <row r="108" spans="30:43" ht="15.6" thickTop="1" thickBot="1">
      <c r="AE108" s="59" t="str">
        <f t="shared" si="49"/>
        <v>Residential Building - low density</v>
      </c>
      <c r="AF108" s="57" t="s">
        <v>42</v>
      </c>
      <c r="AG108" s="60">
        <f t="shared" si="50"/>
        <v>46082</v>
      </c>
      <c r="AH108" s="79">
        <f ca="1">IFERROR(INDEX('Core Inputs Interface'!$1:$1048576,MATCH($AE108,'Core Inputs Interface'!$H:$H,0),MATCH($AG108,'Core Inputs Interface'!$17:$17,0)),"")</f>
        <v>14</v>
      </c>
      <c r="AI108" s="55">
        <f t="shared" si="38"/>
        <v>0.04</v>
      </c>
      <c r="AJ108" s="55">
        <f t="shared" si="34"/>
        <v>0.54050345117059384</v>
      </c>
      <c r="AK108" s="55">
        <f t="shared" si="35"/>
        <v>0.6</v>
      </c>
      <c r="AL108" s="55">
        <f t="shared" ca="1" si="39"/>
        <v>0.25</v>
      </c>
      <c r="AM108" s="65">
        <f t="shared" ca="1" si="36"/>
        <v>4.5402289898329881E-2</v>
      </c>
      <c r="AN108" s="66">
        <f t="shared" ca="1" si="37"/>
        <v>0.56000000000000005</v>
      </c>
      <c r="AO108" s="56">
        <f t="shared" ca="1" si="46"/>
        <v>8.1075517675589071E-2</v>
      </c>
      <c r="AP108" t="str">
        <f t="shared" si="47"/>
        <v>Residential Building - low density_46082</v>
      </c>
      <c r="AQ108" t="str">
        <f t="shared" si="48"/>
        <v>Interior_46082</v>
      </c>
    </row>
    <row r="109" spans="30:43" ht="15.6" thickTop="1" thickBot="1">
      <c r="AE109" s="59" t="str">
        <f t="shared" si="49"/>
        <v>Residential Building - low density</v>
      </c>
      <c r="AF109" s="57" t="s">
        <v>44</v>
      </c>
      <c r="AG109" s="60">
        <f t="shared" si="50"/>
        <v>46082</v>
      </c>
      <c r="AH109" s="79">
        <f ca="1">IFERROR(INDEX('Core Inputs Interface'!$1:$1048576,MATCH($AE109,'Core Inputs Interface'!$H:$H,0),MATCH($AG109,'Core Inputs Interface'!$17:$17,0)),"")</f>
        <v>14</v>
      </c>
      <c r="AI109" s="55">
        <f t="shared" si="38"/>
        <v>0</v>
      </c>
      <c r="AJ109" s="55">
        <f t="shared" si="34"/>
        <v>0.14985905317691026</v>
      </c>
      <c r="AK109" s="55">
        <f t="shared" si="35"/>
        <v>0.6</v>
      </c>
      <c r="AL109" s="55">
        <f t="shared" ca="1" si="39"/>
        <v>0.25</v>
      </c>
      <c r="AM109" s="65">
        <f t="shared" ca="1" si="36"/>
        <v>0</v>
      </c>
      <c r="AN109" s="66">
        <f t="shared" ca="1" si="37"/>
        <v>0</v>
      </c>
      <c r="AO109" s="56">
        <f t="shared" ca="1" si="46"/>
        <v>0</v>
      </c>
      <c r="AP109" t="str">
        <f t="shared" si="47"/>
        <v>Residential Building - low density_46082</v>
      </c>
      <c r="AQ109" t="str">
        <f t="shared" si="48"/>
        <v>Bitumen_46082</v>
      </c>
    </row>
    <row r="110" spans="30:43" ht="15.6" thickTop="1" thickBot="1">
      <c r="AE110" s="59" t="str">
        <f t="shared" si="49"/>
        <v>Residential Building - low density</v>
      </c>
      <c r="AF110" s="57" t="s">
        <v>46</v>
      </c>
      <c r="AG110" s="60">
        <f t="shared" si="50"/>
        <v>46082</v>
      </c>
      <c r="AH110" s="79">
        <f ca="1">IFERROR(INDEX('Core Inputs Interface'!$1:$1048576,MATCH($AE110,'Core Inputs Interface'!$H:$H,0),MATCH($AG110,'Core Inputs Interface'!$17:$17,0)),"")</f>
        <v>14</v>
      </c>
      <c r="AI110" s="55">
        <f t="shared" si="38"/>
        <v>5.0000000000000001E-3</v>
      </c>
      <c r="AJ110" s="55">
        <f t="shared" si="34"/>
        <v>0.12828361767948987</v>
      </c>
      <c r="AK110" s="55">
        <f t="shared" si="35"/>
        <v>0.6</v>
      </c>
      <c r="AL110" s="55">
        <f t="shared" ca="1" si="39"/>
        <v>0.25</v>
      </c>
      <c r="AM110" s="65">
        <f t="shared" ca="1" si="36"/>
        <v>1.3469779856346439E-3</v>
      </c>
      <c r="AN110" s="66">
        <f t="shared" ca="1" si="37"/>
        <v>7.0000000000000007E-2</v>
      </c>
      <c r="AO110" s="56">
        <f t="shared" ca="1" si="46"/>
        <v>1.9242542651923482E-2</v>
      </c>
      <c r="AP110" t="str">
        <f t="shared" si="47"/>
        <v>Residential Building - low density_46082</v>
      </c>
      <c r="AQ110" t="str">
        <f t="shared" si="48"/>
        <v>Polyethylene pipes_46082</v>
      </c>
    </row>
    <row r="111" spans="30:43" ht="15.6" thickTop="1" thickBot="1">
      <c r="AE111" s="59" t="str">
        <f t="shared" si="49"/>
        <v>Residential Building - low density</v>
      </c>
      <c r="AF111" s="57" t="s">
        <v>48</v>
      </c>
      <c r="AG111" s="60">
        <f t="shared" si="50"/>
        <v>46082</v>
      </c>
      <c r="AH111" s="79">
        <f ca="1">IFERROR(INDEX('Core Inputs Interface'!$1:$1048576,MATCH($AE111,'Core Inputs Interface'!$H:$H,0),MATCH($AG111,'Core Inputs Interface'!$17:$17,0)),"")</f>
        <v>14</v>
      </c>
      <c r="AI111" s="55">
        <f t="shared" si="38"/>
        <v>0.04</v>
      </c>
      <c r="AJ111" s="55">
        <f t="shared" si="34"/>
        <v>0.31546495432215926</v>
      </c>
      <c r="AK111" s="55">
        <f t="shared" si="35"/>
        <v>0.8</v>
      </c>
      <c r="AL111" s="55">
        <f t="shared" ca="1" si="39"/>
        <v>0.25</v>
      </c>
      <c r="AM111" s="65">
        <f t="shared" ca="1" si="36"/>
        <v>3.5332074884081847E-2</v>
      </c>
      <c r="AN111" s="66">
        <f t="shared" ca="1" si="37"/>
        <v>0.56000000000000005</v>
      </c>
      <c r="AO111" s="56">
        <f t="shared" ca="1" si="46"/>
        <v>6.3092990864431861E-2</v>
      </c>
      <c r="AP111" t="str">
        <f t="shared" si="47"/>
        <v>Residential Building - low density_46082</v>
      </c>
      <c r="AQ111" t="str">
        <f t="shared" si="48"/>
        <v>Plant and equipment_46082</v>
      </c>
    </row>
    <row r="112" spans="30:43" ht="15.6" thickTop="1" thickBot="1">
      <c r="AE112" s="59" t="str">
        <f t="shared" si="49"/>
        <v>Residential Building - low density</v>
      </c>
      <c r="AF112" s="57" t="s">
        <v>50</v>
      </c>
      <c r="AG112" s="60">
        <f t="shared" si="50"/>
        <v>46082</v>
      </c>
      <c r="AH112" s="79">
        <f ca="1">IFERROR(INDEX('Core Inputs Interface'!$1:$1048576,MATCH($AE112,'Core Inputs Interface'!$H:$H,0),MATCH($AG112,'Core Inputs Interface'!$17:$17,0)),"")</f>
        <v>14</v>
      </c>
      <c r="AI112" s="55">
        <f t="shared" si="38"/>
        <v>0.01</v>
      </c>
      <c r="AJ112" s="55">
        <f t="shared" si="34"/>
        <v>0.48556692694591386</v>
      </c>
      <c r="AK112" s="55">
        <f t="shared" si="35"/>
        <v>0.8</v>
      </c>
      <c r="AL112" s="55">
        <f t="shared" ca="1" si="39"/>
        <v>0.25</v>
      </c>
      <c r="AM112" s="65">
        <f t="shared" ca="1" si="36"/>
        <v>1.3595873954485591E-2</v>
      </c>
      <c r="AN112" s="66">
        <f t="shared" ca="1" si="37"/>
        <v>0.14000000000000001</v>
      </c>
      <c r="AO112" s="56">
        <f t="shared" ca="1" si="46"/>
        <v>9.711338538918278E-2</v>
      </c>
      <c r="AP112" t="str">
        <f t="shared" si="47"/>
        <v>Residential Building - low density_46082</v>
      </c>
      <c r="AQ112" t="str">
        <f t="shared" si="48"/>
        <v>Electrical equipment_46082</v>
      </c>
    </row>
    <row r="113" spans="31:43" ht="15.6" thickTop="1" thickBot="1">
      <c r="AE113" s="59" t="str">
        <f t="shared" si="49"/>
        <v>Residential Building - low density</v>
      </c>
      <c r="AF113" s="57" t="s">
        <v>52</v>
      </c>
      <c r="AG113" s="60">
        <f t="shared" si="50"/>
        <v>46082</v>
      </c>
      <c r="AH113" s="79">
        <f ca="1">IFERROR(INDEX('Core Inputs Interface'!$1:$1048576,MATCH($AE113,'Core Inputs Interface'!$H:$H,0),MATCH($AG113,'Core Inputs Interface'!$17:$17,0)),"")</f>
        <v>14</v>
      </c>
      <c r="AI113" s="55">
        <f t="shared" si="38"/>
        <v>0</v>
      </c>
      <c r="AJ113" s="55">
        <f t="shared" si="34"/>
        <v>0.23440288076987165</v>
      </c>
      <c r="AK113" s="55">
        <f t="shared" si="35"/>
        <v>0.8</v>
      </c>
      <c r="AL113" s="55">
        <f t="shared" ca="1" si="39"/>
        <v>0.25</v>
      </c>
      <c r="AM113" s="65">
        <f t="shared" ca="1" si="36"/>
        <v>0</v>
      </c>
      <c r="AN113" s="66">
        <f t="shared" ca="1" si="37"/>
        <v>0</v>
      </c>
      <c r="AO113" s="56">
        <f t="shared" ca="1" si="46"/>
        <v>0</v>
      </c>
      <c r="AP113" t="str">
        <f t="shared" si="47"/>
        <v>Residential Building - low density_46082</v>
      </c>
      <c r="AQ113" t="str">
        <f t="shared" si="48"/>
        <v>Road equipment_46082</v>
      </c>
    </row>
    <row r="114" spans="31:43" ht="15.6" thickTop="1" thickBot="1">
      <c r="AE114" s="59" t="str">
        <f t="shared" si="49"/>
        <v>Residential Building - low density</v>
      </c>
      <c r="AF114" s="57" t="s">
        <v>54</v>
      </c>
      <c r="AG114" s="60">
        <f t="shared" si="50"/>
        <v>46082</v>
      </c>
      <c r="AH114" s="79">
        <f ca="1">IFERROR(INDEX('Core Inputs Interface'!$1:$1048576,MATCH($AE114,'Core Inputs Interface'!$H:$H,0),MATCH($AG114,'Core Inputs Interface'!$17:$17,0)),"")</f>
        <v>14</v>
      </c>
      <c r="AI114" s="55">
        <f t="shared" si="38"/>
        <v>0</v>
      </c>
      <c r="AJ114" s="55">
        <f t="shared" si="34"/>
        <v>0.53411483886586031</v>
      </c>
      <c r="AK114" s="55">
        <f t="shared" si="35"/>
        <v>0.8</v>
      </c>
      <c r="AL114" s="55">
        <f t="shared" ca="1" si="39"/>
        <v>0.25</v>
      </c>
      <c r="AM114" s="65">
        <f t="shared" ca="1" si="36"/>
        <v>0</v>
      </c>
      <c r="AN114" s="66">
        <f t="shared" ca="1" si="37"/>
        <v>0</v>
      </c>
      <c r="AO114" s="56">
        <f t="shared" ca="1" si="46"/>
        <v>0</v>
      </c>
      <c r="AP114" t="str">
        <f t="shared" si="47"/>
        <v>Residential Building - low density_46082</v>
      </c>
      <c r="AQ114" t="str">
        <f t="shared" si="48"/>
        <v>Water equipment_46082</v>
      </c>
    </row>
    <row r="115" spans="31:43" ht="15.6" thickTop="1" thickBot="1">
      <c r="AE115" s="59" t="str">
        <f t="shared" si="49"/>
        <v>Residential Building - low density</v>
      </c>
      <c r="AF115" s="57" t="s">
        <v>56</v>
      </c>
      <c r="AG115" s="60">
        <f t="shared" si="50"/>
        <v>46082</v>
      </c>
      <c r="AH115" s="79">
        <f ca="1">IFERROR(INDEX('Core Inputs Interface'!$1:$1048576,MATCH($AE115,'Core Inputs Interface'!$H:$H,0),MATCH($AG115,'Core Inputs Interface'!$17:$17,0)),"")</f>
        <v>14</v>
      </c>
      <c r="AI115" s="55">
        <f t="shared" si="38"/>
        <v>0.05</v>
      </c>
      <c r="AJ115" s="55">
        <f t="shared" si="34"/>
        <v>0.45356302165418505</v>
      </c>
      <c r="AK115" s="55">
        <f t="shared" si="35"/>
        <v>0.6</v>
      </c>
      <c r="AL115" s="55">
        <f t="shared" ca="1" si="39"/>
        <v>0.1</v>
      </c>
      <c r="AM115" s="65">
        <f t="shared" ca="1" si="36"/>
        <v>1.9049646909475776E-2</v>
      </c>
      <c r="AN115" s="66">
        <f t="shared" ca="1" si="37"/>
        <v>0.70000000000000007</v>
      </c>
      <c r="AO115" s="56">
        <f t="shared" ca="1" si="46"/>
        <v>2.7213781299251106E-2</v>
      </c>
      <c r="AP115" t="str">
        <f t="shared" si="47"/>
        <v>Residential Building - low density_46082</v>
      </c>
      <c r="AQ115" t="str">
        <f t="shared" si="48"/>
        <v>Diesel_46082</v>
      </c>
    </row>
    <row r="116" spans="31:43" ht="15.6" thickTop="1" thickBot="1">
      <c r="AE116" s="59" t="str">
        <f t="shared" si="49"/>
        <v>Residential Building - low density</v>
      </c>
      <c r="AF116" s="57" t="s">
        <v>49</v>
      </c>
      <c r="AG116" s="60">
        <f t="shared" si="50"/>
        <v>46082</v>
      </c>
      <c r="AH116" s="79">
        <f ca="1">IFERROR(INDEX('Core Inputs Interface'!$1:$1048576,MATCH($AE116,'Core Inputs Interface'!$H:$H,0),MATCH($AG116,'Core Inputs Interface'!$17:$17,0)),"")</f>
        <v>14</v>
      </c>
      <c r="AI116" s="55">
        <f t="shared" si="38"/>
        <v>0</v>
      </c>
      <c r="AJ116" s="55">
        <f t="shared" si="34"/>
        <v>0.52451068102476561</v>
      </c>
      <c r="AK116" s="55">
        <f t="shared" si="35"/>
        <v>0.8</v>
      </c>
      <c r="AL116" s="55">
        <f t="shared" ca="1" si="39"/>
        <v>0.25</v>
      </c>
      <c r="AM116" s="65">
        <f t="shared" ca="1" si="36"/>
        <v>0</v>
      </c>
      <c r="AN116" s="66">
        <f t="shared" ca="1" si="37"/>
        <v>0</v>
      </c>
      <c r="AO116" s="56">
        <f t="shared" ca="1" si="46"/>
        <v>0</v>
      </c>
      <c r="AP116" t="str">
        <f t="shared" si="47"/>
        <v>Residential Building - low density_46082</v>
      </c>
      <c r="AQ116" t="str">
        <f t="shared" si="48"/>
        <v>Vehicles_46082</v>
      </c>
    </row>
    <row r="117" spans="31:43" ht="15.6" thickTop="1" thickBot="1">
      <c r="AE117" s="59" t="str">
        <f>AE116</f>
        <v>Residential Building - low density</v>
      </c>
      <c r="AF117" s="57" t="s">
        <v>51</v>
      </c>
      <c r="AG117" s="60">
        <f>AG116</f>
        <v>46082</v>
      </c>
      <c r="AH117" s="79">
        <f ca="1">IFERROR(INDEX('Core Inputs Interface'!$1:$1048576,MATCH($AE117,'Core Inputs Interface'!$H:$H,0),MATCH($AG117,'Core Inputs Interface'!$17:$17,0)),"")</f>
        <v>14</v>
      </c>
      <c r="AI117" s="55">
        <f t="shared" si="38"/>
        <v>0</v>
      </c>
      <c r="AJ117" s="55">
        <f t="shared" si="34"/>
        <v>0.39238740022595126</v>
      </c>
      <c r="AK117" s="55">
        <f t="shared" si="35"/>
        <v>0.8</v>
      </c>
      <c r="AL117" s="55">
        <f t="shared" ca="1" si="39"/>
        <v>0.25</v>
      </c>
      <c r="AM117" s="65">
        <f t="shared" ca="1" si="36"/>
        <v>0</v>
      </c>
      <c r="AN117" s="66">
        <f t="shared" ca="1" si="37"/>
        <v>0</v>
      </c>
      <c r="AO117" s="56">
        <f ca="1">IFERROR(AM117/AN117,0)</f>
        <v>0</v>
      </c>
      <c r="AP117" t="str">
        <f>_xlfn.TEXTJOIN("_",,$AE117,$AG117)</f>
        <v>Residential Building - low density_46082</v>
      </c>
      <c r="AQ117" t="str">
        <f>_xlfn.TEXTJOIN("_",,$AF117,$AG117)</f>
        <v>Machinery &amp; Equipment_46082</v>
      </c>
    </row>
    <row r="118" spans="31:43" ht="15.6" thickTop="1" thickBot="1">
      <c r="AE118" s="59" t="str">
        <f>AE117</f>
        <v>Residential Building - low density</v>
      </c>
      <c r="AF118" s="57" t="s">
        <v>53</v>
      </c>
      <c r="AG118" s="60">
        <f>AG117</f>
        <v>46082</v>
      </c>
      <c r="AH118" s="79">
        <f ca="1">IFERROR(INDEX('Core Inputs Interface'!$1:$1048576,MATCH($AE118,'Core Inputs Interface'!$H:$H,0),MATCH($AG118,'Core Inputs Interface'!$17:$17,0)),"")</f>
        <v>14</v>
      </c>
      <c r="AI118" s="55">
        <f t="shared" si="38"/>
        <v>0</v>
      </c>
      <c r="AJ118" s="55">
        <f t="shared" si="34"/>
        <v>0.15</v>
      </c>
      <c r="AK118" s="55">
        <f t="shared" si="35"/>
        <v>0.8</v>
      </c>
      <c r="AL118" s="55">
        <f t="shared" ca="1" si="39"/>
        <v>0.25</v>
      </c>
      <c r="AM118" s="65">
        <f t="shared" ca="1" si="36"/>
        <v>0</v>
      </c>
      <c r="AN118" s="66">
        <f t="shared" ca="1" si="37"/>
        <v>0</v>
      </c>
      <c r="AO118" s="56">
        <f ca="1">IFERROR(AM118/AN118,0)</f>
        <v>0</v>
      </c>
      <c r="AP118" t="str">
        <f>_xlfn.TEXTJOIN("_",,$AE118,$AG118)</f>
        <v>Residential Building - low density_46082</v>
      </c>
      <c r="AQ118" t="str">
        <f>_xlfn.TEXTJOIN("_",,$AF118,$AG118)</f>
        <v>Office Equipment &amp; IT_46082</v>
      </c>
    </row>
    <row r="119" spans="31:43" ht="15.6" thickTop="1" thickBot="1">
      <c r="AE119" s="59" t="str">
        <f>AE116</f>
        <v>Residential Building - low density</v>
      </c>
      <c r="AF119" s="59" t="str">
        <f t="shared" ref="AF119:AF138" si="51">AF97</f>
        <v>Labour</v>
      </c>
      <c r="AG119" s="61">
        <f>EDATE(AG97,12)</f>
        <v>46447</v>
      </c>
      <c r="AH119" s="79">
        <f ca="1">IFERROR(INDEX('Core Inputs Interface'!$1:$1048576,MATCH($AE119,'Core Inputs Interface'!$H:$H,0),MATCH($AG119,'Core Inputs Interface'!$17:$17,0)),"")</f>
        <v>16</v>
      </c>
      <c r="AI119" s="55">
        <f t="shared" si="38"/>
        <v>0.41499999999999998</v>
      </c>
      <c r="AJ119" s="55" t="str">
        <f t="shared" si="34"/>
        <v>N/A</v>
      </c>
      <c r="AK119" s="55" t="str">
        <f t="shared" si="35"/>
        <v>N/A</v>
      </c>
      <c r="AL119" s="55" t="str">
        <f t="shared" ca="1" si="39"/>
        <v>N/A</v>
      </c>
      <c r="AM119" s="65">
        <f t="shared" ca="1" si="36"/>
        <v>0</v>
      </c>
      <c r="AN119" s="66">
        <f t="shared" ca="1" si="37"/>
        <v>6.64</v>
      </c>
      <c r="AO119" s="56">
        <f t="shared" ref="AO119:AO138" ca="1" si="52">IFERROR(AM119/AN119,0)</f>
        <v>0</v>
      </c>
      <c r="AP119" t="str">
        <f t="shared" si="47"/>
        <v>Residential Building - low density_46447</v>
      </c>
      <c r="AQ119" t="str">
        <f t="shared" si="48"/>
        <v>Labour_46447</v>
      </c>
    </row>
    <row r="120" spans="31:43" ht="15.6" thickTop="1" thickBot="1">
      <c r="AE120" s="59" t="str">
        <f t="shared" si="49"/>
        <v>Residential Building - low density</v>
      </c>
      <c r="AF120" s="59" t="str">
        <f t="shared" si="51"/>
        <v>Engineering design</v>
      </c>
      <c r="AG120" s="60">
        <f>AG119</f>
        <v>46447</v>
      </c>
      <c r="AH120" s="79">
        <f ca="1">IFERROR(INDEX('Core Inputs Interface'!$1:$1048576,MATCH($AE120,'Core Inputs Interface'!$H:$H,0),MATCH($AG120,'Core Inputs Interface'!$17:$17,0)),"")</f>
        <v>16</v>
      </c>
      <c r="AI120" s="55">
        <f t="shared" si="38"/>
        <v>0</v>
      </c>
      <c r="AJ120" s="55" t="str">
        <f t="shared" si="34"/>
        <v>N/A</v>
      </c>
      <c r="AK120" s="55" t="str">
        <f t="shared" si="35"/>
        <v>N/A</v>
      </c>
      <c r="AL120" s="55" t="str">
        <f t="shared" ca="1" si="39"/>
        <v>N/A</v>
      </c>
      <c r="AM120" s="65">
        <f t="shared" ca="1" si="36"/>
        <v>0</v>
      </c>
      <c r="AN120" s="66">
        <f t="shared" ca="1" si="37"/>
        <v>0</v>
      </c>
      <c r="AO120" s="56">
        <f t="shared" ca="1" si="52"/>
        <v>0</v>
      </c>
      <c r="AP120" t="str">
        <f t="shared" si="47"/>
        <v>Residential Building - low density_46447</v>
      </c>
      <c r="AQ120" t="str">
        <f t="shared" si="48"/>
        <v>Engineering design_46447</v>
      </c>
    </row>
    <row r="121" spans="31:43" ht="15.6" thickTop="1" thickBot="1">
      <c r="AE121" s="59" t="str">
        <f t="shared" si="49"/>
        <v>Residential Building - low density</v>
      </c>
      <c r="AF121" s="59" t="str">
        <f t="shared" si="51"/>
        <v>Reinforcing bar</v>
      </c>
      <c r="AG121" s="60">
        <f t="shared" ref="AG121:AG138" si="53">AG120</f>
        <v>46447</v>
      </c>
      <c r="AH121" s="79">
        <f ca="1">IFERROR(INDEX('Core Inputs Interface'!$1:$1048576,MATCH($AE121,'Core Inputs Interface'!$H:$H,0),MATCH($AG121,'Core Inputs Interface'!$17:$17,0)),"")</f>
        <v>16</v>
      </c>
      <c r="AI121" s="55">
        <f t="shared" si="38"/>
        <v>0.02</v>
      </c>
      <c r="AJ121" s="55">
        <f t="shared" si="34"/>
        <v>8.4066217963502693E-2</v>
      </c>
      <c r="AK121" s="55">
        <f t="shared" si="35"/>
        <v>0.6</v>
      </c>
      <c r="AL121" s="55">
        <f t="shared" ca="1" si="39"/>
        <v>0.25</v>
      </c>
      <c r="AM121" s="65">
        <f t="shared" ca="1" si="36"/>
        <v>4.035178462248129E-3</v>
      </c>
      <c r="AN121" s="66">
        <f t="shared" ca="1" si="37"/>
        <v>0.32</v>
      </c>
      <c r="AO121" s="56">
        <f t="shared" ca="1" si="52"/>
        <v>1.2609932694525403E-2</v>
      </c>
      <c r="AP121" t="str">
        <f t="shared" si="47"/>
        <v>Residential Building - low density_46447</v>
      </c>
      <c r="AQ121" t="str">
        <f t="shared" si="48"/>
        <v>Reinforcing bar_46447</v>
      </c>
    </row>
    <row r="122" spans="31:43" ht="15.6" thickTop="1" thickBot="1">
      <c r="AE122" s="59" t="str">
        <f t="shared" si="49"/>
        <v>Residential Building - low density</v>
      </c>
      <c r="AF122" s="59" t="str">
        <f t="shared" si="51"/>
        <v>Structural steel</v>
      </c>
      <c r="AG122" s="60">
        <f t="shared" si="53"/>
        <v>46447</v>
      </c>
      <c r="AH122" s="79">
        <f ca="1">IFERROR(INDEX('Core Inputs Interface'!$1:$1048576,MATCH($AE122,'Core Inputs Interface'!$H:$H,0),MATCH($AG122,'Core Inputs Interface'!$17:$17,0)),"")</f>
        <v>16</v>
      </c>
      <c r="AI122" s="55">
        <f t="shared" si="38"/>
        <v>0.01</v>
      </c>
      <c r="AJ122" s="55">
        <f t="shared" si="34"/>
        <v>0.52500514810102583</v>
      </c>
      <c r="AK122" s="55">
        <f t="shared" si="35"/>
        <v>0.6</v>
      </c>
      <c r="AL122" s="55">
        <f t="shared" ca="1" si="39"/>
        <v>0.25</v>
      </c>
      <c r="AM122" s="65">
        <f t="shared" ca="1" si="36"/>
        <v>1.2600123554424619E-2</v>
      </c>
      <c r="AN122" s="66">
        <f t="shared" ca="1" si="37"/>
        <v>0.16</v>
      </c>
      <c r="AO122" s="56">
        <f t="shared" ca="1" si="52"/>
        <v>7.8750772215153864E-2</v>
      </c>
      <c r="AP122" t="str">
        <f t="shared" si="47"/>
        <v>Residential Building - low density_46447</v>
      </c>
      <c r="AQ122" t="str">
        <f t="shared" si="48"/>
        <v>Structural steel_46447</v>
      </c>
    </row>
    <row r="123" spans="31:43" ht="15.6" thickTop="1" thickBot="1">
      <c r="AE123" s="59" t="str">
        <f t="shared" si="49"/>
        <v>Residential Building - low density</v>
      </c>
      <c r="AF123" s="59" t="str">
        <f t="shared" si="51"/>
        <v>Quarry Material</v>
      </c>
      <c r="AG123" s="60">
        <f t="shared" si="53"/>
        <v>46447</v>
      </c>
      <c r="AH123" s="79">
        <f ca="1">IFERROR(INDEX('Core Inputs Interface'!$1:$1048576,MATCH($AE123,'Core Inputs Interface'!$H:$H,0),MATCH($AG123,'Core Inputs Interface'!$17:$17,0)),"")</f>
        <v>16</v>
      </c>
      <c r="AI123" s="55">
        <f t="shared" si="38"/>
        <v>0</v>
      </c>
      <c r="AJ123" s="55">
        <f t="shared" si="34"/>
        <v>9.1004090556242881E-2</v>
      </c>
      <c r="AK123" s="55">
        <f t="shared" si="35"/>
        <v>0.6</v>
      </c>
      <c r="AL123" s="55">
        <f t="shared" ca="1" si="39"/>
        <v>0.25</v>
      </c>
      <c r="AM123" s="65">
        <f t="shared" ca="1" si="36"/>
        <v>0</v>
      </c>
      <c r="AN123" s="66">
        <f t="shared" ca="1" si="37"/>
        <v>0</v>
      </c>
      <c r="AO123" s="56">
        <f t="shared" ca="1" si="52"/>
        <v>0</v>
      </c>
      <c r="AP123" t="str">
        <f t="shared" si="47"/>
        <v>Residential Building - low density_46447</v>
      </c>
      <c r="AQ123" t="str">
        <f t="shared" si="48"/>
        <v>Quarry Material_46447</v>
      </c>
    </row>
    <row r="124" spans="31:43" ht="15.6" thickTop="1" thickBot="1">
      <c r="AE124" s="59" t="str">
        <f t="shared" si="49"/>
        <v>Residential Building - low density</v>
      </c>
      <c r="AF124" s="59" t="str">
        <f t="shared" si="51"/>
        <v>Concrete</v>
      </c>
      <c r="AG124" s="60">
        <f t="shared" si="53"/>
        <v>46447</v>
      </c>
      <c r="AH124" s="79">
        <f ca="1">IFERROR(INDEX('Core Inputs Interface'!$1:$1048576,MATCH($AE124,'Core Inputs Interface'!$H:$H,0),MATCH($AG124,'Core Inputs Interface'!$17:$17,0)),"")</f>
        <v>16</v>
      </c>
      <c r="AI124" s="55">
        <f t="shared" si="38"/>
        <v>0.04</v>
      </c>
      <c r="AJ124" s="55">
        <f t="shared" si="34"/>
        <v>1.1472584695084088E-2</v>
      </c>
      <c r="AK124" s="55">
        <f t="shared" si="35"/>
        <v>0.6</v>
      </c>
      <c r="AL124" s="55">
        <f t="shared" ca="1" si="39"/>
        <v>0.25</v>
      </c>
      <c r="AM124" s="65">
        <f t="shared" ca="1" si="36"/>
        <v>1.1013681307280726E-3</v>
      </c>
      <c r="AN124" s="66">
        <f t="shared" ca="1" si="37"/>
        <v>0.64</v>
      </c>
      <c r="AO124" s="56">
        <f t="shared" ca="1" si="52"/>
        <v>1.7208877042626134E-3</v>
      </c>
      <c r="AP124" t="str">
        <f t="shared" si="47"/>
        <v>Residential Building - low density_46447</v>
      </c>
      <c r="AQ124" t="str">
        <f t="shared" si="48"/>
        <v>Concrete_46447</v>
      </c>
    </row>
    <row r="125" spans="31:43" ht="15.6" thickTop="1" thickBot="1">
      <c r="AE125" s="59" t="str">
        <f t="shared" si="49"/>
        <v>Residential Building - low density</v>
      </c>
      <c r="AF125" s="59" t="str">
        <f t="shared" si="51"/>
        <v>Masonry</v>
      </c>
      <c r="AG125" s="60">
        <f t="shared" si="53"/>
        <v>46447</v>
      </c>
      <c r="AH125" s="79">
        <f ca="1">IFERROR(INDEX('Core Inputs Interface'!$1:$1048576,MATCH($AE125,'Core Inputs Interface'!$H:$H,0),MATCH($AG125,'Core Inputs Interface'!$17:$17,0)),"")</f>
        <v>16</v>
      </c>
      <c r="AI125" s="55">
        <f t="shared" si="38"/>
        <v>0.03</v>
      </c>
      <c r="AJ125" s="55">
        <f t="shared" si="34"/>
        <v>9.8410961434768088E-2</v>
      </c>
      <c r="AK125" s="55">
        <f t="shared" si="35"/>
        <v>0.6</v>
      </c>
      <c r="AL125" s="55">
        <f t="shared" ca="1" si="39"/>
        <v>0.25</v>
      </c>
      <c r="AM125" s="65">
        <f t="shared" ca="1" si="36"/>
        <v>7.0855892233033018E-3</v>
      </c>
      <c r="AN125" s="66">
        <f t="shared" ca="1" si="37"/>
        <v>0.48</v>
      </c>
      <c r="AO125" s="56">
        <f t="shared" ca="1" si="52"/>
        <v>1.4761644215215213E-2</v>
      </c>
      <c r="AP125" t="str">
        <f t="shared" si="47"/>
        <v>Residential Building - low density_46447</v>
      </c>
      <c r="AQ125" t="str">
        <f t="shared" si="48"/>
        <v>Masonry_46447</v>
      </c>
    </row>
    <row r="126" spans="31:43" ht="15.6" thickTop="1" thickBot="1">
      <c r="AE126" s="59" t="str">
        <f t="shared" si="49"/>
        <v>Residential Building - low density</v>
      </c>
      <c r="AF126" s="59" t="str">
        <f t="shared" si="51"/>
        <v>Wood</v>
      </c>
      <c r="AG126" s="60">
        <f t="shared" si="53"/>
        <v>46447</v>
      </c>
      <c r="AH126" s="79">
        <f ca="1">IFERROR(INDEX('Core Inputs Interface'!$1:$1048576,MATCH($AE126,'Core Inputs Interface'!$H:$H,0),MATCH($AG126,'Core Inputs Interface'!$17:$17,0)),"")</f>
        <v>16</v>
      </c>
      <c r="AI126" s="55">
        <f t="shared" si="38"/>
        <v>0.2</v>
      </c>
      <c r="AJ126" s="55">
        <f t="shared" si="34"/>
        <v>0.13840817436677436</v>
      </c>
      <c r="AK126" s="55">
        <f t="shared" si="35"/>
        <v>0.6</v>
      </c>
      <c r="AL126" s="55">
        <f t="shared" ca="1" si="39"/>
        <v>0.25</v>
      </c>
      <c r="AM126" s="65">
        <f t="shared" ca="1" si="36"/>
        <v>6.6435923696051682E-2</v>
      </c>
      <c r="AN126" s="66">
        <f t="shared" ca="1" si="37"/>
        <v>3.2</v>
      </c>
      <c r="AO126" s="56">
        <f t="shared" ca="1" si="52"/>
        <v>2.076122615501615E-2</v>
      </c>
      <c r="AP126" t="str">
        <f t="shared" si="47"/>
        <v>Residential Building - low density_46447</v>
      </c>
      <c r="AQ126" t="str">
        <f t="shared" si="48"/>
        <v>Wood_46447</v>
      </c>
    </row>
    <row r="127" spans="31:43" ht="15.6" thickTop="1" thickBot="1">
      <c r="AE127" s="59" t="str">
        <f t="shared" si="49"/>
        <v>Residential Building - low density</v>
      </c>
      <c r="AF127" s="59" t="str">
        <f t="shared" si="51"/>
        <v>Electrical wire</v>
      </c>
      <c r="AG127" s="60">
        <f t="shared" si="53"/>
        <v>46447</v>
      </c>
      <c r="AH127" s="79">
        <f ca="1">IFERROR(INDEX('Core Inputs Interface'!$1:$1048576,MATCH($AE127,'Core Inputs Interface'!$H:$H,0),MATCH($AG127,'Core Inputs Interface'!$17:$17,0)),"")</f>
        <v>16</v>
      </c>
      <c r="AI127" s="55">
        <f t="shared" si="38"/>
        <v>0.02</v>
      </c>
      <c r="AJ127" s="55">
        <f t="shared" si="34"/>
        <v>0.80654510583379313</v>
      </c>
      <c r="AK127" s="55">
        <f t="shared" si="35"/>
        <v>0.6</v>
      </c>
      <c r="AL127" s="55">
        <f t="shared" ca="1" si="39"/>
        <v>0.25</v>
      </c>
      <c r="AM127" s="65">
        <f t="shared" ca="1" si="36"/>
        <v>3.8714165080022067E-2</v>
      </c>
      <c r="AN127" s="66">
        <f t="shared" ca="1" si="37"/>
        <v>0.32</v>
      </c>
      <c r="AO127" s="56">
        <f t="shared" ca="1" si="52"/>
        <v>0.12098176587506895</v>
      </c>
      <c r="AP127" t="str">
        <f t="shared" si="47"/>
        <v>Residential Building - low density_46447</v>
      </c>
      <c r="AQ127" t="str">
        <f t="shared" si="48"/>
        <v>Electrical wire_46447</v>
      </c>
    </row>
    <row r="128" spans="31:43" ht="15.6" thickTop="1" thickBot="1">
      <c r="AE128" s="59" t="str">
        <f t="shared" si="49"/>
        <v>Residential Building - low density</v>
      </c>
      <c r="AF128" s="59" t="str">
        <f t="shared" si="51"/>
        <v>Glass</v>
      </c>
      <c r="AG128" s="60">
        <f t="shared" si="53"/>
        <v>46447</v>
      </c>
      <c r="AH128" s="79">
        <f ca="1">IFERROR(INDEX('Core Inputs Interface'!$1:$1048576,MATCH($AE128,'Core Inputs Interface'!$H:$H,0),MATCH($AG128,'Core Inputs Interface'!$17:$17,0)),"")</f>
        <v>16</v>
      </c>
      <c r="AI128" s="55">
        <f t="shared" si="38"/>
        <v>0.04</v>
      </c>
      <c r="AJ128" s="55">
        <f t="shared" si="34"/>
        <v>0.24210307145623419</v>
      </c>
      <c r="AK128" s="55">
        <f t="shared" si="35"/>
        <v>0.6</v>
      </c>
      <c r="AL128" s="55">
        <f t="shared" ca="1" si="39"/>
        <v>0.25</v>
      </c>
      <c r="AM128" s="65">
        <f t="shared" ca="1" si="36"/>
        <v>2.3241894859798481E-2</v>
      </c>
      <c r="AN128" s="66">
        <f t="shared" ca="1" si="37"/>
        <v>0.64</v>
      </c>
      <c r="AO128" s="56">
        <f t="shared" ca="1" si="52"/>
        <v>3.6315460718435125E-2</v>
      </c>
      <c r="AP128" t="str">
        <f t="shared" si="47"/>
        <v>Residential Building - low density_46447</v>
      </c>
      <c r="AQ128" t="str">
        <f t="shared" si="48"/>
        <v>Glass_46447</v>
      </c>
    </row>
    <row r="129" spans="30:43" ht="15.6" thickTop="1" thickBot="1">
      <c r="AE129" s="59" t="str">
        <f t="shared" si="49"/>
        <v>Residential Building - low density</v>
      </c>
      <c r="AF129" s="59" t="str">
        <f t="shared" si="51"/>
        <v>Roofing</v>
      </c>
      <c r="AG129" s="60">
        <f t="shared" si="53"/>
        <v>46447</v>
      </c>
      <c r="AH129" s="79">
        <f ca="1">IFERROR(INDEX('Core Inputs Interface'!$1:$1048576,MATCH($AE129,'Core Inputs Interface'!$H:$H,0),MATCH($AG129,'Core Inputs Interface'!$17:$17,0)),"")</f>
        <v>16</v>
      </c>
      <c r="AI129" s="55">
        <f t="shared" si="38"/>
        <v>0.08</v>
      </c>
      <c r="AJ129" s="55">
        <f t="shared" si="34"/>
        <v>2.4772729573316262E-4</v>
      </c>
      <c r="AK129" s="55">
        <f t="shared" si="35"/>
        <v>0.6</v>
      </c>
      <c r="AL129" s="55">
        <f t="shared" ca="1" si="39"/>
        <v>0.25</v>
      </c>
      <c r="AM129" s="65">
        <f t="shared" ca="1" si="36"/>
        <v>4.7563640780767218E-5</v>
      </c>
      <c r="AN129" s="66">
        <f t="shared" ca="1" si="37"/>
        <v>1.28</v>
      </c>
      <c r="AO129" s="56">
        <f t="shared" ca="1" si="52"/>
        <v>3.7159094359974391E-5</v>
      </c>
      <c r="AP129" t="str">
        <f t="shared" si="47"/>
        <v>Residential Building - low density_46447</v>
      </c>
      <c r="AQ129" t="str">
        <f t="shared" si="48"/>
        <v>Roofing_46447</v>
      </c>
    </row>
    <row r="130" spans="30:43" ht="15.6" thickTop="1" thickBot="1">
      <c r="AE130" s="59" t="str">
        <f t="shared" si="49"/>
        <v>Residential Building - low density</v>
      </c>
      <c r="AF130" s="59" t="str">
        <f t="shared" si="51"/>
        <v>Interior</v>
      </c>
      <c r="AG130" s="60">
        <f t="shared" si="53"/>
        <v>46447</v>
      </c>
      <c r="AH130" s="79">
        <f ca="1">IFERROR(INDEX('Core Inputs Interface'!$1:$1048576,MATCH($AE130,'Core Inputs Interface'!$H:$H,0),MATCH($AG130,'Core Inputs Interface'!$17:$17,0)),"")</f>
        <v>16</v>
      </c>
      <c r="AI130" s="55">
        <f t="shared" si="38"/>
        <v>0.04</v>
      </c>
      <c r="AJ130" s="55">
        <f t="shared" si="34"/>
        <v>0.54050345117059384</v>
      </c>
      <c r="AK130" s="55">
        <f t="shared" si="35"/>
        <v>0.6</v>
      </c>
      <c r="AL130" s="55">
        <f t="shared" ca="1" si="39"/>
        <v>0.25</v>
      </c>
      <c r="AM130" s="65">
        <f t="shared" ca="1" si="36"/>
        <v>5.1888331312377009E-2</v>
      </c>
      <c r="AN130" s="66">
        <f t="shared" ca="1" si="37"/>
        <v>0.64</v>
      </c>
      <c r="AO130" s="56">
        <f t="shared" ca="1" si="52"/>
        <v>8.1075517675589071E-2</v>
      </c>
      <c r="AP130" t="str">
        <f t="shared" si="47"/>
        <v>Residential Building - low density_46447</v>
      </c>
      <c r="AQ130" t="str">
        <f t="shared" si="48"/>
        <v>Interior_46447</v>
      </c>
    </row>
    <row r="131" spans="30:43" ht="15.6" thickTop="1" thickBot="1">
      <c r="AE131" s="59" t="str">
        <f t="shared" si="49"/>
        <v>Residential Building - low density</v>
      </c>
      <c r="AF131" s="59" t="str">
        <f t="shared" si="51"/>
        <v>Bitumen</v>
      </c>
      <c r="AG131" s="60">
        <f t="shared" si="53"/>
        <v>46447</v>
      </c>
      <c r="AH131" s="79">
        <f ca="1">IFERROR(INDEX('Core Inputs Interface'!$1:$1048576,MATCH($AE131,'Core Inputs Interface'!$H:$H,0),MATCH($AG131,'Core Inputs Interface'!$17:$17,0)),"")</f>
        <v>16</v>
      </c>
      <c r="AI131" s="55">
        <f t="shared" si="38"/>
        <v>0</v>
      </c>
      <c r="AJ131" s="55">
        <f t="shared" si="34"/>
        <v>0.14985905317691026</v>
      </c>
      <c r="AK131" s="55">
        <f t="shared" si="35"/>
        <v>0.6</v>
      </c>
      <c r="AL131" s="55">
        <f t="shared" ca="1" si="39"/>
        <v>0.25</v>
      </c>
      <c r="AM131" s="65">
        <f t="shared" ca="1" si="36"/>
        <v>0</v>
      </c>
      <c r="AN131" s="66">
        <f t="shared" ca="1" si="37"/>
        <v>0</v>
      </c>
      <c r="AO131" s="56">
        <f t="shared" ca="1" si="52"/>
        <v>0</v>
      </c>
      <c r="AP131" t="str">
        <f t="shared" si="47"/>
        <v>Residential Building - low density_46447</v>
      </c>
      <c r="AQ131" t="str">
        <f t="shared" si="48"/>
        <v>Bitumen_46447</v>
      </c>
    </row>
    <row r="132" spans="30:43" ht="15.6" thickTop="1" thickBot="1">
      <c r="AE132" s="59" t="str">
        <f t="shared" si="49"/>
        <v>Residential Building - low density</v>
      </c>
      <c r="AF132" s="59" t="str">
        <f t="shared" si="51"/>
        <v>Polyethylene pipes</v>
      </c>
      <c r="AG132" s="60">
        <f t="shared" si="53"/>
        <v>46447</v>
      </c>
      <c r="AH132" s="79">
        <f ca="1">IFERROR(INDEX('Core Inputs Interface'!$1:$1048576,MATCH($AE132,'Core Inputs Interface'!$H:$H,0),MATCH($AG132,'Core Inputs Interface'!$17:$17,0)),"")</f>
        <v>16</v>
      </c>
      <c r="AI132" s="55">
        <f t="shared" si="38"/>
        <v>5.0000000000000001E-3</v>
      </c>
      <c r="AJ132" s="55">
        <f t="shared" si="34"/>
        <v>0.12828361767948987</v>
      </c>
      <c r="AK132" s="55">
        <f t="shared" si="35"/>
        <v>0.6</v>
      </c>
      <c r="AL132" s="55">
        <f t="shared" ca="1" si="39"/>
        <v>0.25</v>
      </c>
      <c r="AM132" s="65">
        <f t="shared" ca="1" si="36"/>
        <v>1.5394034121538785E-3</v>
      </c>
      <c r="AN132" s="66">
        <f t="shared" ca="1" si="37"/>
        <v>0.08</v>
      </c>
      <c r="AO132" s="56">
        <f t="shared" ca="1" si="52"/>
        <v>1.9242542651923482E-2</v>
      </c>
      <c r="AP132" t="str">
        <f t="shared" si="47"/>
        <v>Residential Building - low density_46447</v>
      </c>
      <c r="AQ132" t="str">
        <f t="shared" si="48"/>
        <v>Polyethylene pipes_46447</v>
      </c>
    </row>
    <row r="133" spans="30:43" ht="15.6" thickTop="1" thickBot="1">
      <c r="AE133" s="59" t="str">
        <f t="shared" si="49"/>
        <v>Residential Building - low density</v>
      </c>
      <c r="AF133" s="59" t="str">
        <f t="shared" si="51"/>
        <v>Plant and equipment</v>
      </c>
      <c r="AG133" s="60">
        <f t="shared" si="53"/>
        <v>46447</v>
      </c>
      <c r="AH133" s="79">
        <f ca="1">IFERROR(INDEX('Core Inputs Interface'!$1:$1048576,MATCH($AE133,'Core Inputs Interface'!$H:$H,0),MATCH($AG133,'Core Inputs Interface'!$17:$17,0)),"")</f>
        <v>16</v>
      </c>
      <c r="AI133" s="55">
        <f t="shared" si="38"/>
        <v>0.04</v>
      </c>
      <c r="AJ133" s="55">
        <f t="shared" si="34"/>
        <v>0.31546495432215926</v>
      </c>
      <c r="AK133" s="55">
        <f t="shared" si="35"/>
        <v>0.8</v>
      </c>
      <c r="AL133" s="55">
        <f t="shared" ca="1" si="39"/>
        <v>0.25</v>
      </c>
      <c r="AM133" s="65">
        <f t="shared" ca="1" si="36"/>
        <v>4.0379514153236387E-2</v>
      </c>
      <c r="AN133" s="66">
        <f t="shared" ca="1" si="37"/>
        <v>0.64</v>
      </c>
      <c r="AO133" s="56">
        <f t="shared" ca="1" si="52"/>
        <v>6.3092990864431847E-2</v>
      </c>
      <c r="AP133" t="str">
        <f t="shared" si="47"/>
        <v>Residential Building - low density_46447</v>
      </c>
      <c r="AQ133" t="str">
        <f t="shared" si="48"/>
        <v>Plant and equipment_46447</v>
      </c>
    </row>
    <row r="134" spans="30:43" ht="15.6" thickTop="1" thickBot="1">
      <c r="AE134" s="59" t="str">
        <f t="shared" si="49"/>
        <v>Residential Building - low density</v>
      </c>
      <c r="AF134" s="59" t="str">
        <f t="shared" si="51"/>
        <v>Electrical equipment</v>
      </c>
      <c r="AG134" s="60">
        <f t="shared" si="53"/>
        <v>46447</v>
      </c>
      <c r="AH134" s="79">
        <f ca="1">IFERROR(INDEX('Core Inputs Interface'!$1:$1048576,MATCH($AE134,'Core Inputs Interface'!$H:$H,0),MATCH($AG134,'Core Inputs Interface'!$17:$17,0)),"")</f>
        <v>16</v>
      </c>
      <c r="AI134" s="55">
        <f t="shared" si="38"/>
        <v>0.01</v>
      </c>
      <c r="AJ134" s="55">
        <f t="shared" si="34"/>
        <v>0.48556692694591386</v>
      </c>
      <c r="AK134" s="55">
        <f t="shared" si="35"/>
        <v>0.8</v>
      </c>
      <c r="AL134" s="55">
        <f t="shared" ca="1" si="39"/>
        <v>0.25</v>
      </c>
      <c r="AM134" s="65">
        <f t="shared" ca="1" si="36"/>
        <v>1.5538141662269245E-2</v>
      </c>
      <c r="AN134" s="66">
        <f t="shared" ca="1" si="37"/>
        <v>0.16</v>
      </c>
      <c r="AO134" s="56">
        <f t="shared" ca="1" si="52"/>
        <v>9.711338538918278E-2</v>
      </c>
      <c r="AP134" t="str">
        <f t="shared" si="47"/>
        <v>Residential Building - low density_46447</v>
      </c>
      <c r="AQ134" t="str">
        <f t="shared" si="48"/>
        <v>Electrical equipment_46447</v>
      </c>
    </row>
    <row r="135" spans="30:43" ht="15.6" thickTop="1" thickBot="1">
      <c r="AE135" s="59" t="str">
        <f t="shared" si="49"/>
        <v>Residential Building - low density</v>
      </c>
      <c r="AF135" s="59" t="str">
        <f t="shared" si="51"/>
        <v>Road equipment</v>
      </c>
      <c r="AG135" s="60">
        <f t="shared" si="53"/>
        <v>46447</v>
      </c>
      <c r="AH135" s="79">
        <f ca="1">IFERROR(INDEX('Core Inputs Interface'!$1:$1048576,MATCH($AE135,'Core Inputs Interface'!$H:$H,0),MATCH($AG135,'Core Inputs Interface'!$17:$17,0)),"")</f>
        <v>16</v>
      </c>
      <c r="AI135" s="55">
        <f t="shared" si="38"/>
        <v>0</v>
      </c>
      <c r="AJ135" s="55">
        <f t="shared" si="34"/>
        <v>0.23440288076987165</v>
      </c>
      <c r="AK135" s="55">
        <f t="shared" si="35"/>
        <v>0.8</v>
      </c>
      <c r="AL135" s="55">
        <f t="shared" ca="1" si="39"/>
        <v>0.25</v>
      </c>
      <c r="AM135" s="65">
        <f t="shared" ca="1" si="36"/>
        <v>0</v>
      </c>
      <c r="AN135" s="66">
        <f t="shared" ca="1" si="37"/>
        <v>0</v>
      </c>
      <c r="AO135" s="56">
        <f t="shared" ca="1" si="52"/>
        <v>0</v>
      </c>
      <c r="AP135" t="str">
        <f t="shared" si="47"/>
        <v>Residential Building - low density_46447</v>
      </c>
      <c r="AQ135" t="str">
        <f t="shared" si="48"/>
        <v>Road equipment_46447</v>
      </c>
    </row>
    <row r="136" spans="30:43" ht="15.6" thickTop="1" thickBot="1">
      <c r="AE136" s="59" t="str">
        <f t="shared" si="49"/>
        <v>Residential Building - low density</v>
      </c>
      <c r="AF136" s="59" t="str">
        <f t="shared" si="51"/>
        <v>Water equipment</v>
      </c>
      <c r="AG136" s="60">
        <f t="shared" si="53"/>
        <v>46447</v>
      </c>
      <c r="AH136" s="79">
        <f ca="1">IFERROR(INDEX('Core Inputs Interface'!$1:$1048576,MATCH($AE136,'Core Inputs Interface'!$H:$H,0),MATCH($AG136,'Core Inputs Interface'!$17:$17,0)),"")</f>
        <v>16</v>
      </c>
      <c r="AI136" s="55">
        <f t="shared" si="38"/>
        <v>0</v>
      </c>
      <c r="AJ136" s="55">
        <f t="shared" si="34"/>
        <v>0.53411483886586031</v>
      </c>
      <c r="AK136" s="55">
        <f t="shared" si="35"/>
        <v>0.8</v>
      </c>
      <c r="AL136" s="55">
        <f t="shared" ca="1" si="39"/>
        <v>0.25</v>
      </c>
      <c r="AM136" s="65">
        <f t="shared" ca="1" si="36"/>
        <v>0</v>
      </c>
      <c r="AN136" s="66">
        <f t="shared" ca="1" si="37"/>
        <v>0</v>
      </c>
      <c r="AO136" s="56">
        <f t="shared" ca="1" si="52"/>
        <v>0</v>
      </c>
      <c r="AP136" t="str">
        <f t="shared" si="47"/>
        <v>Residential Building - low density_46447</v>
      </c>
      <c r="AQ136" t="str">
        <f t="shared" si="48"/>
        <v>Water equipment_46447</v>
      </c>
    </row>
    <row r="137" spans="30:43" ht="15.6" thickTop="1" thickBot="1">
      <c r="AE137" s="59" t="str">
        <f t="shared" si="49"/>
        <v>Residential Building - low density</v>
      </c>
      <c r="AF137" s="59" t="str">
        <f t="shared" si="51"/>
        <v>Diesel</v>
      </c>
      <c r="AG137" s="60">
        <f t="shared" si="53"/>
        <v>46447</v>
      </c>
      <c r="AH137" s="79">
        <f ca="1">IFERROR(INDEX('Core Inputs Interface'!$1:$1048576,MATCH($AE137,'Core Inputs Interface'!$H:$H,0),MATCH($AG137,'Core Inputs Interface'!$17:$17,0)),"")</f>
        <v>16</v>
      </c>
      <c r="AI137" s="55">
        <f t="shared" si="38"/>
        <v>0.05</v>
      </c>
      <c r="AJ137" s="55">
        <f t="shared" ref="AJ137:AJ200" si="54">IFERROR(INDEX($U:$U,MATCH($AF137,$T:$T,0)),0)</f>
        <v>0.45356302165418505</v>
      </c>
      <c r="AK137" s="55">
        <f t="shared" ref="AK137:AK200" si="55">IFERROR(INDEX($Y:$Y,MATCH($AF137,$X:$X,0)),0)</f>
        <v>0.6</v>
      </c>
      <c r="AL137" s="55">
        <f t="shared" ca="1" si="39"/>
        <v>0.1</v>
      </c>
      <c r="AM137" s="65">
        <f t="shared" ref="AM137:AM200" ca="1" si="56">IF(AL137="N/A",0,PRODUCT(AH137:AL137))</f>
        <v>2.1771025039400885E-2</v>
      </c>
      <c r="AN137" s="66">
        <f t="shared" ref="AN137:AN200" ca="1" si="57">PRODUCT(AH137:AI137)</f>
        <v>0.8</v>
      </c>
      <c r="AO137" s="56">
        <f t="shared" ca="1" si="52"/>
        <v>2.7213781299251106E-2</v>
      </c>
      <c r="AP137" t="str">
        <f t="shared" si="47"/>
        <v>Residential Building - low density_46447</v>
      </c>
      <c r="AQ137" t="str">
        <f t="shared" si="48"/>
        <v>Diesel_46447</v>
      </c>
    </row>
    <row r="138" spans="30:43" ht="15.6" thickTop="1" thickBot="1">
      <c r="AE138" s="59" t="str">
        <f t="shared" si="49"/>
        <v>Residential Building - low density</v>
      </c>
      <c r="AF138" s="59" t="str">
        <f t="shared" si="51"/>
        <v>Vehicles</v>
      </c>
      <c r="AG138" s="60">
        <f t="shared" si="53"/>
        <v>46447</v>
      </c>
      <c r="AH138" s="79">
        <f ca="1">IFERROR(INDEX('Core Inputs Interface'!$1:$1048576,MATCH($AE138,'Core Inputs Interface'!$H:$H,0),MATCH($AG138,'Core Inputs Interface'!$17:$17,0)),"")</f>
        <v>16</v>
      </c>
      <c r="AI138" s="55">
        <f t="shared" ref="AI138:AI201" si="58">IFERROR(INDEX($F$9:$Q$30,MATCH($AF138,$E$9:$E$30,0),MATCH($AE138,$F$8:$Q$8,0)),0)</f>
        <v>0</v>
      </c>
      <c r="AJ138" s="55">
        <f t="shared" si="54"/>
        <v>0.52451068102476561</v>
      </c>
      <c r="AK138" s="55">
        <f t="shared" si="55"/>
        <v>0.8</v>
      </c>
      <c r="AL138" s="55">
        <f t="shared" ref="AL138:AL201" ca="1" si="59">IFERROR(INDEX($Z$10:$AA$31,MATCH($AF138,$X$10:$X$31,0),MATCH($AG138,$Z$9:$AA$9,0)),0)</f>
        <v>0.25</v>
      </c>
      <c r="AM138" s="65">
        <f t="shared" ca="1" si="56"/>
        <v>0</v>
      </c>
      <c r="AN138" s="66">
        <f t="shared" ca="1" si="57"/>
        <v>0</v>
      </c>
      <c r="AO138" s="56">
        <f t="shared" ca="1" si="52"/>
        <v>0</v>
      </c>
      <c r="AP138" t="str">
        <f t="shared" si="47"/>
        <v>Residential Building - low density_46447</v>
      </c>
      <c r="AQ138" t="str">
        <f t="shared" si="48"/>
        <v>Vehicles_46447</v>
      </c>
    </row>
    <row r="139" spans="30:43" ht="15.6" thickTop="1" thickBot="1">
      <c r="AE139" s="59" t="str">
        <f>AE138</f>
        <v>Residential Building - low density</v>
      </c>
      <c r="AF139" s="59" t="str">
        <f t="shared" ref="AF139:AF140" si="60">AF117</f>
        <v>Machinery &amp; Equipment</v>
      </c>
      <c r="AG139" s="60">
        <f>AG138</f>
        <v>46447</v>
      </c>
      <c r="AH139" s="79">
        <f ca="1">IFERROR(INDEX('Core Inputs Interface'!$1:$1048576,MATCH($AE139,'Core Inputs Interface'!$H:$H,0),MATCH($AG139,'Core Inputs Interface'!$17:$17,0)),"")</f>
        <v>16</v>
      </c>
      <c r="AI139" s="55">
        <f t="shared" si="58"/>
        <v>0</v>
      </c>
      <c r="AJ139" s="55">
        <f t="shared" si="54"/>
        <v>0.39238740022595126</v>
      </c>
      <c r="AK139" s="55">
        <f t="shared" si="55"/>
        <v>0.8</v>
      </c>
      <c r="AL139" s="55">
        <f t="shared" ca="1" si="59"/>
        <v>0.25</v>
      </c>
      <c r="AM139" s="65">
        <f t="shared" ca="1" si="56"/>
        <v>0</v>
      </c>
      <c r="AN139" s="66">
        <f t="shared" ca="1" si="57"/>
        <v>0</v>
      </c>
      <c r="AO139" s="56">
        <f ca="1">IFERROR(AM139/AN139,0)</f>
        <v>0</v>
      </c>
      <c r="AP139" t="str">
        <f>_xlfn.TEXTJOIN("_",,$AE139,$AG139)</f>
        <v>Residential Building - low density_46447</v>
      </c>
      <c r="AQ139" t="str">
        <f>_xlfn.TEXTJOIN("_",,$AF139,$AG139)</f>
        <v>Machinery &amp; Equipment_46447</v>
      </c>
    </row>
    <row r="140" spans="30:43" ht="15.6" thickTop="1" thickBot="1">
      <c r="AE140" s="59" t="str">
        <f>AE139</f>
        <v>Residential Building - low density</v>
      </c>
      <c r="AF140" s="59" t="str">
        <f t="shared" si="60"/>
        <v>Office Equipment &amp; IT</v>
      </c>
      <c r="AG140" s="60">
        <f>AG139</f>
        <v>46447</v>
      </c>
      <c r="AH140" s="79">
        <f ca="1">IFERROR(INDEX('Core Inputs Interface'!$1:$1048576,MATCH($AE140,'Core Inputs Interface'!$H:$H,0),MATCH($AG140,'Core Inputs Interface'!$17:$17,0)),"")</f>
        <v>16</v>
      </c>
      <c r="AI140" s="55">
        <f t="shared" si="58"/>
        <v>0</v>
      </c>
      <c r="AJ140" s="55">
        <f t="shared" si="54"/>
        <v>0.15</v>
      </c>
      <c r="AK140" s="55">
        <f t="shared" si="55"/>
        <v>0.8</v>
      </c>
      <c r="AL140" s="55">
        <f t="shared" ca="1" si="59"/>
        <v>0.25</v>
      </c>
      <c r="AM140" s="65">
        <f t="shared" ca="1" si="56"/>
        <v>0</v>
      </c>
      <c r="AN140" s="66">
        <f t="shared" ca="1" si="57"/>
        <v>0</v>
      </c>
      <c r="AO140" s="56">
        <f ca="1">IFERROR(AM140/AN140,0)</f>
        <v>0</v>
      </c>
      <c r="AP140" t="str">
        <f>_xlfn.TEXTJOIN("_",,$AE140,$AG140)</f>
        <v>Residential Building - low density_46447</v>
      </c>
      <c r="AQ140" t="str">
        <f>_xlfn.TEXTJOIN("_",,$AF140,$AG140)</f>
        <v>Office Equipment &amp; IT_46447</v>
      </c>
    </row>
    <row r="141" spans="30:43" ht="15.6" thickTop="1" thickBot="1">
      <c r="AD141">
        <f>AD97+1</f>
        <v>4</v>
      </c>
      <c r="AE141" s="57" t="str" cm="1">
        <f t="array" ref="AE141">INDEX($F$8:$Q$8,$AD141)</f>
        <v>Non-Residential Building</v>
      </c>
      <c r="AF141" s="58" t="s">
        <v>66</v>
      </c>
      <c r="AG141" s="62">
        <v>46082</v>
      </c>
      <c r="AH141" s="79">
        <f ca="1">IFERROR(INDEX('Core Inputs Interface'!$1:$1048576,MATCH($AE141,'Core Inputs Interface'!$H:$H,0),MATCH($AG141,'Core Inputs Interface'!$17:$17,0)),"")</f>
        <v>5500</v>
      </c>
      <c r="AI141" s="55">
        <f t="shared" si="58"/>
        <v>0.41499999999999998</v>
      </c>
      <c r="AJ141" s="55" t="str">
        <f t="shared" si="54"/>
        <v>N/A</v>
      </c>
      <c r="AK141" s="55" t="str">
        <f t="shared" si="55"/>
        <v>N/A</v>
      </c>
      <c r="AL141" s="55" t="str">
        <f t="shared" ca="1" si="59"/>
        <v>N/A</v>
      </c>
      <c r="AM141" s="65">
        <f t="shared" ca="1" si="56"/>
        <v>0</v>
      </c>
      <c r="AN141" s="66">
        <f t="shared" ca="1" si="57"/>
        <v>2282.5</v>
      </c>
      <c r="AO141" s="56">
        <f ca="1">IFERROR(AM141/AN141,0)</f>
        <v>0</v>
      </c>
      <c r="AP141" t="str">
        <f>_xlfn.TEXTJOIN("_",,$AE141,$AG141)</f>
        <v>Non-Residential Building_46082</v>
      </c>
      <c r="AQ141" t="str">
        <f>_xlfn.TEXTJOIN("_",,$AF141,$AG141)</f>
        <v>Labour_46082</v>
      </c>
    </row>
    <row r="142" spans="30:43" ht="15.6" thickTop="1" thickBot="1">
      <c r="AE142" s="59" t="str">
        <f>AE141</f>
        <v>Non-Residential Building</v>
      </c>
      <c r="AF142" s="58" t="s">
        <v>67</v>
      </c>
      <c r="AG142" s="60">
        <f>AG141</f>
        <v>46082</v>
      </c>
      <c r="AH142" s="79">
        <f ca="1">IFERROR(INDEX('Core Inputs Interface'!$1:$1048576,MATCH($AE142,'Core Inputs Interface'!$H:$H,0),MATCH($AG142,'Core Inputs Interface'!$17:$17,0)),"")</f>
        <v>5500</v>
      </c>
      <c r="AI142" s="55">
        <f t="shared" si="58"/>
        <v>1.4999999999999999E-2</v>
      </c>
      <c r="AJ142" s="55" t="str">
        <f t="shared" si="54"/>
        <v>N/A</v>
      </c>
      <c r="AK142" s="55" t="str">
        <f t="shared" si="55"/>
        <v>N/A</v>
      </c>
      <c r="AL142" s="55" t="str">
        <f t="shared" ca="1" si="59"/>
        <v>N/A</v>
      </c>
      <c r="AM142" s="65">
        <f t="shared" ca="1" si="56"/>
        <v>0</v>
      </c>
      <c r="AN142" s="66">
        <f t="shared" ca="1" si="57"/>
        <v>82.5</v>
      </c>
      <c r="AO142" s="56">
        <f t="shared" ref="AO142:AO160" ca="1" si="61">IFERROR(AM142/AN142,0)</f>
        <v>0</v>
      </c>
      <c r="AP142" t="str">
        <f t="shared" ref="AP142:AP182" si="62">_xlfn.TEXTJOIN("_",,$AE142,$AG142)</f>
        <v>Non-Residential Building_46082</v>
      </c>
      <c r="AQ142" t="str">
        <f t="shared" ref="AQ142:AQ182" si="63">_xlfn.TEXTJOIN("_",,$AF142,$AG142)</f>
        <v>Engineering design_46082</v>
      </c>
    </row>
    <row r="143" spans="30:43" ht="15.6" thickTop="1" thickBot="1">
      <c r="AE143" s="59" t="str">
        <f t="shared" ref="AE143:AE182" si="64">AE142</f>
        <v>Non-Residential Building</v>
      </c>
      <c r="AF143" s="58" t="s">
        <v>26</v>
      </c>
      <c r="AG143" s="60">
        <f t="shared" ref="AG143:AG160" si="65">AG142</f>
        <v>46082</v>
      </c>
      <c r="AH143" s="79">
        <f ca="1">IFERROR(INDEX('Core Inputs Interface'!$1:$1048576,MATCH($AE143,'Core Inputs Interface'!$H:$H,0),MATCH($AG143,'Core Inputs Interface'!$17:$17,0)),"")</f>
        <v>5500</v>
      </c>
      <c r="AI143" s="55">
        <f t="shared" si="58"/>
        <v>0.05</v>
      </c>
      <c r="AJ143" s="55">
        <f t="shared" si="54"/>
        <v>8.4066217963502693E-2</v>
      </c>
      <c r="AK143" s="55">
        <f t="shared" si="55"/>
        <v>0.6</v>
      </c>
      <c r="AL143" s="55">
        <f t="shared" ca="1" si="59"/>
        <v>0.25</v>
      </c>
      <c r="AM143" s="65">
        <f t="shared" ca="1" si="56"/>
        <v>3.4677314909944861</v>
      </c>
      <c r="AN143" s="66">
        <f t="shared" ca="1" si="57"/>
        <v>275</v>
      </c>
      <c r="AO143" s="56">
        <f t="shared" ca="1" si="61"/>
        <v>1.2609932694525403E-2</v>
      </c>
      <c r="AP143" t="str">
        <f t="shared" si="62"/>
        <v>Non-Residential Building_46082</v>
      </c>
      <c r="AQ143" t="str">
        <f t="shared" si="63"/>
        <v>Reinforcing bar_46082</v>
      </c>
    </row>
    <row r="144" spans="30:43" ht="15.6" thickTop="1" thickBot="1">
      <c r="AE144" s="59" t="str">
        <f t="shared" si="64"/>
        <v>Non-Residential Building</v>
      </c>
      <c r="AF144" s="58" t="s">
        <v>27</v>
      </c>
      <c r="AG144" s="60">
        <f t="shared" si="65"/>
        <v>46082</v>
      </c>
      <c r="AH144" s="79">
        <f ca="1">IFERROR(INDEX('Core Inputs Interface'!$1:$1048576,MATCH($AE144,'Core Inputs Interface'!$H:$H,0),MATCH($AG144,'Core Inputs Interface'!$17:$17,0)),"")</f>
        <v>5500</v>
      </c>
      <c r="AI144" s="55">
        <f t="shared" si="58"/>
        <v>0.03</v>
      </c>
      <c r="AJ144" s="55">
        <f t="shared" si="54"/>
        <v>0.52500514810102583</v>
      </c>
      <c r="AK144" s="55">
        <f t="shared" si="55"/>
        <v>0.6</v>
      </c>
      <c r="AL144" s="55">
        <f t="shared" ca="1" si="59"/>
        <v>0.25</v>
      </c>
      <c r="AM144" s="65">
        <f t="shared" ca="1" si="56"/>
        <v>12.993877415500387</v>
      </c>
      <c r="AN144" s="66">
        <f t="shared" ca="1" si="57"/>
        <v>165</v>
      </c>
      <c r="AO144" s="56">
        <f t="shared" ca="1" si="61"/>
        <v>7.8750772215153864E-2</v>
      </c>
      <c r="AP144" t="str">
        <f t="shared" si="62"/>
        <v>Non-Residential Building_46082</v>
      </c>
      <c r="AQ144" t="str">
        <f t="shared" si="63"/>
        <v>Structural steel_46082</v>
      </c>
    </row>
    <row r="145" spans="31:43" ht="15.6" thickTop="1" thickBot="1">
      <c r="AE145" s="59" t="str">
        <f t="shared" si="64"/>
        <v>Non-Residential Building</v>
      </c>
      <c r="AF145" s="58" t="s">
        <v>28</v>
      </c>
      <c r="AG145" s="60">
        <f t="shared" si="65"/>
        <v>46082</v>
      </c>
      <c r="AH145" s="79">
        <f ca="1">IFERROR(INDEX('Core Inputs Interface'!$1:$1048576,MATCH($AE145,'Core Inputs Interface'!$H:$H,0),MATCH($AG145,'Core Inputs Interface'!$17:$17,0)),"")</f>
        <v>5500</v>
      </c>
      <c r="AI145" s="55">
        <f t="shared" si="58"/>
        <v>0</v>
      </c>
      <c r="AJ145" s="55">
        <f t="shared" si="54"/>
        <v>9.1004090556242881E-2</v>
      </c>
      <c r="AK145" s="55">
        <f t="shared" si="55"/>
        <v>0.6</v>
      </c>
      <c r="AL145" s="55">
        <f t="shared" ca="1" si="59"/>
        <v>0.25</v>
      </c>
      <c r="AM145" s="65">
        <f t="shared" ca="1" si="56"/>
        <v>0</v>
      </c>
      <c r="AN145" s="66">
        <f t="shared" ca="1" si="57"/>
        <v>0</v>
      </c>
      <c r="AO145" s="56">
        <f t="shared" ca="1" si="61"/>
        <v>0</v>
      </c>
      <c r="AP145" t="str">
        <f t="shared" si="62"/>
        <v>Non-Residential Building_46082</v>
      </c>
      <c r="AQ145" t="str">
        <f t="shared" si="63"/>
        <v>Quarry Material_46082</v>
      </c>
    </row>
    <row r="146" spans="31:43" ht="15.6" thickTop="1" thickBot="1">
      <c r="AE146" s="59" t="str">
        <f t="shared" si="64"/>
        <v>Non-Residential Building</v>
      </c>
      <c r="AF146" s="58" t="s">
        <v>30</v>
      </c>
      <c r="AG146" s="60">
        <f t="shared" si="65"/>
        <v>46082</v>
      </c>
      <c r="AH146" s="79">
        <f ca="1">IFERROR(INDEX('Core Inputs Interface'!$1:$1048576,MATCH($AE146,'Core Inputs Interface'!$H:$H,0),MATCH($AG146,'Core Inputs Interface'!$17:$17,0)),"")</f>
        <v>5500</v>
      </c>
      <c r="AI146" s="55">
        <f t="shared" si="58"/>
        <v>0.1</v>
      </c>
      <c r="AJ146" s="55">
        <f t="shared" si="54"/>
        <v>1.1472584695084088E-2</v>
      </c>
      <c r="AK146" s="55">
        <f t="shared" si="55"/>
        <v>0.6</v>
      </c>
      <c r="AL146" s="55">
        <f t="shared" ca="1" si="59"/>
        <v>0.25</v>
      </c>
      <c r="AM146" s="65">
        <f t="shared" ca="1" si="56"/>
        <v>0.94648823734443721</v>
      </c>
      <c r="AN146" s="66">
        <f t="shared" ca="1" si="57"/>
        <v>550</v>
      </c>
      <c r="AO146" s="56">
        <f t="shared" ca="1" si="61"/>
        <v>1.720887704262613E-3</v>
      </c>
      <c r="AP146" t="str">
        <f t="shared" si="62"/>
        <v>Non-Residential Building_46082</v>
      </c>
      <c r="AQ146" t="str">
        <f t="shared" si="63"/>
        <v>Concrete_46082</v>
      </c>
    </row>
    <row r="147" spans="31:43" ht="15.6" thickTop="1" thickBot="1">
      <c r="AE147" s="59" t="str">
        <f t="shared" si="64"/>
        <v>Non-Residential Building</v>
      </c>
      <c r="AF147" s="57" t="s">
        <v>32</v>
      </c>
      <c r="AG147" s="60">
        <f t="shared" si="65"/>
        <v>46082</v>
      </c>
      <c r="AH147" s="79">
        <f ca="1">IFERROR(INDEX('Core Inputs Interface'!$1:$1048576,MATCH($AE147,'Core Inputs Interface'!$H:$H,0),MATCH($AG147,'Core Inputs Interface'!$17:$17,0)),"")</f>
        <v>5500</v>
      </c>
      <c r="AI147" s="55">
        <f t="shared" si="58"/>
        <v>0.02</v>
      </c>
      <c r="AJ147" s="55">
        <f t="shared" si="54"/>
        <v>9.8410961434768088E-2</v>
      </c>
      <c r="AK147" s="55">
        <f t="shared" si="55"/>
        <v>0.6</v>
      </c>
      <c r="AL147" s="55">
        <f t="shared" ca="1" si="59"/>
        <v>0.25</v>
      </c>
      <c r="AM147" s="65">
        <f t="shared" ca="1" si="56"/>
        <v>1.6237808636736735</v>
      </c>
      <c r="AN147" s="66">
        <f t="shared" ca="1" si="57"/>
        <v>110</v>
      </c>
      <c r="AO147" s="56">
        <f t="shared" ca="1" si="61"/>
        <v>1.4761644215215213E-2</v>
      </c>
      <c r="AP147" t="str">
        <f t="shared" si="62"/>
        <v>Non-Residential Building_46082</v>
      </c>
      <c r="AQ147" t="str">
        <f t="shared" si="63"/>
        <v>Masonry_46082</v>
      </c>
    </row>
    <row r="148" spans="31:43" ht="15.6" thickTop="1" thickBot="1">
      <c r="AE148" s="59" t="str">
        <f t="shared" si="64"/>
        <v>Non-Residential Building</v>
      </c>
      <c r="AF148" s="57" t="s">
        <v>34</v>
      </c>
      <c r="AG148" s="60">
        <f t="shared" si="65"/>
        <v>46082</v>
      </c>
      <c r="AH148" s="79">
        <f ca="1">IFERROR(INDEX('Core Inputs Interface'!$1:$1048576,MATCH($AE148,'Core Inputs Interface'!$H:$H,0),MATCH($AG148,'Core Inputs Interface'!$17:$17,0)),"")</f>
        <v>5500</v>
      </c>
      <c r="AI148" s="55">
        <f t="shared" si="58"/>
        <v>1.4999999999999999E-2</v>
      </c>
      <c r="AJ148" s="55">
        <f t="shared" si="54"/>
        <v>0.13840817436677436</v>
      </c>
      <c r="AK148" s="55">
        <f t="shared" si="55"/>
        <v>0.6</v>
      </c>
      <c r="AL148" s="55">
        <f t="shared" ca="1" si="59"/>
        <v>0.25</v>
      </c>
      <c r="AM148" s="65">
        <f t="shared" ca="1" si="56"/>
        <v>1.7128011577888325</v>
      </c>
      <c r="AN148" s="66">
        <f t="shared" ca="1" si="57"/>
        <v>82.5</v>
      </c>
      <c r="AO148" s="56">
        <f t="shared" ca="1" si="61"/>
        <v>2.076122615501615E-2</v>
      </c>
      <c r="AP148" t="str">
        <f t="shared" si="62"/>
        <v>Non-Residential Building_46082</v>
      </c>
      <c r="AQ148" t="str">
        <f t="shared" si="63"/>
        <v>Wood_46082</v>
      </c>
    </row>
    <row r="149" spans="31:43" ht="15.6" thickTop="1" thickBot="1">
      <c r="AE149" s="59" t="str">
        <f t="shared" si="64"/>
        <v>Non-Residential Building</v>
      </c>
      <c r="AF149" s="57" t="s">
        <v>36</v>
      </c>
      <c r="AG149" s="60">
        <f t="shared" si="65"/>
        <v>46082</v>
      </c>
      <c r="AH149" s="79">
        <f ca="1">IFERROR(INDEX('Core Inputs Interface'!$1:$1048576,MATCH($AE149,'Core Inputs Interface'!$H:$H,0),MATCH($AG149,'Core Inputs Interface'!$17:$17,0)),"")</f>
        <v>5500</v>
      </c>
      <c r="AI149" s="55">
        <f t="shared" si="58"/>
        <v>0.03</v>
      </c>
      <c r="AJ149" s="55">
        <f t="shared" si="54"/>
        <v>0.80654510583379313</v>
      </c>
      <c r="AK149" s="55">
        <f t="shared" si="55"/>
        <v>0.6</v>
      </c>
      <c r="AL149" s="55">
        <f t="shared" ca="1" si="59"/>
        <v>0.25</v>
      </c>
      <c r="AM149" s="65">
        <f t="shared" ca="1" si="56"/>
        <v>19.961991369386379</v>
      </c>
      <c r="AN149" s="66">
        <f t="shared" ca="1" si="57"/>
        <v>165</v>
      </c>
      <c r="AO149" s="56">
        <f t="shared" ca="1" si="61"/>
        <v>0.12098176587506897</v>
      </c>
      <c r="AP149" t="str">
        <f t="shared" si="62"/>
        <v>Non-Residential Building_46082</v>
      </c>
      <c r="AQ149" t="str">
        <f t="shared" si="63"/>
        <v>Electrical wire_46082</v>
      </c>
    </row>
    <row r="150" spans="31:43" ht="15.6" thickTop="1" thickBot="1">
      <c r="AE150" s="59" t="str">
        <f t="shared" si="64"/>
        <v>Non-Residential Building</v>
      </c>
      <c r="AF150" s="57" t="s">
        <v>38</v>
      </c>
      <c r="AG150" s="60">
        <f t="shared" si="65"/>
        <v>46082</v>
      </c>
      <c r="AH150" s="79">
        <f ca="1">IFERROR(INDEX('Core Inputs Interface'!$1:$1048576,MATCH($AE150,'Core Inputs Interface'!$H:$H,0),MATCH($AG150,'Core Inputs Interface'!$17:$17,0)),"")</f>
        <v>5500</v>
      </c>
      <c r="AI150" s="55">
        <f t="shared" si="58"/>
        <v>0.04</v>
      </c>
      <c r="AJ150" s="55">
        <f t="shared" si="54"/>
        <v>0.24210307145623419</v>
      </c>
      <c r="AK150" s="55">
        <f t="shared" si="55"/>
        <v>0.6</v>
      </c>
      <c r="AL150" s="55">
        <f t="shared" ca="1" si="59"/>
        <v>0.25</v>
      </c>
      <c r="AM150" s="65">
        <f t="shared" ca="1" si="56"/>
        <v>7.9894013580557282</v>
      </c>
      <c r="AN150" s="66">
        <f t="shared" ca="1" si="57"/>
        <v>220</v>
      </c>
      <c r="AO150" s="56">
        <f t="shared" ca="1" si="61"/>
        <v>3.6315460718435125E-2</v>
      </c>
      <c r="AP150" t="str">
        <f t="shared" si="62"/>
        <v>Non-Residential Building_46082</v>
      </c>
      <c r="AQ150" t="str">
        <f t="shared" si="63"/>
        <v>Glass_46082</v>
      </c>
    </row>
    <row r="151" spans="31:43" ht="15.6" thickTop="1" thickBot="1">
      <c r="AE151" s="59" t="str">
        <f t="shared" si="64"/>
        <v>Non-Residential Building</v>
      </c>
      <c r="AF151" s="57" t="s">
        <v>40</v>
      </c>
      <c r="AG151" s="60">
        <f t="shared" si="65"/>
        <v>46082</v>
      </c>
      <c r="AH151" s="79">
        <f ca="1">IFERROR(INDEX('Core Inputs Interface'!$1:$1048576,MATCH($AE151,'Core Inputs Interface'!$H:$H,0),MATCH($AG151,'Core Inputs Interface'!$17:$17,0)),"")</f>
        <v>5500</v>
      </c>
      <c r="AI151" s="55">
        <f t="shared" si="58"/>
        <v>0.06</v>
      </c>
      <c r="AJ151" s="55">
        <f t="shared" si="54"/>
        <v>2.4772729573316262E-4</v>
      </c>
      <c r="AK151" s="55">
        <f t="shared" si="55"/>
        <v>0.6</v>
      </c>
      <c r="AL151" s="55">
        <f t="shared" ca="1" si="59"/>
        <v>0.25</v>
      </c>
      <c r="AM151" s="65">
        <f t="shared" ca="1" si="56"/>
        <v>1.2262501138791548E-2</v>
      </c>
      <c r="AN151" s="66">
        <f t="shared" ca="1" si="57"/>
        <v>330</v>
      </c>
      <c r="AO151" s="56">
        <f t="shared" ca="1" si="61"/>
        <v>3.7159094359974391E-5</v>
      </c>
      <c r="AP151" t="str">
        <f t="shared" si="62"/>
        <v>Non-Residential Building_46082</v>
      </c>
      <c r="AQ151" t="str">
        <f t="shared" si="63"/>
        <v>Roofing_46082</v>
      </c>
    </row>
    <row r="152" spans="31:43" ht="15.6" thickTop="1" thickBot="1">
      <c r="AE152" s="59" t="str">
        <f t="shared" si="64"/>
        <v>Non-Residential Building</v>
      </c>
      <c r="AF152" s="57" t="s">
        <v>42</v>
      </c>
      <c r="AG152" s="60">
        <f t="shared" si="65"/>
        <v>46082</v>
      </c>
      <c r="AH152" s="79">
        <f ca="1">IFERROR(INDEX('Core Inputs Interface'!$1:$1048576,MATCH($AE152,'Core Inputs Interface'!$H:$H,0),MATCH($AG152,'Core Inputs Interface'!$17:$17,0)),"")</f>
        <v>5500</v>
      </c>
      <c r="AI152" s="55">
        <f t="shared" si="58"/>
        <v>0.03</v>
      </c>
      <c r="AJ152" s="55">
        <f t="shared" si="54"/>
        <v>0.54050345117059384</v>
      </c>
      <c r="AK152" s="55">
        <f t="shared" si="55"/>
        <v>0.6</v>
      </c>
      <c r="AL152" s="55">
        <f t="shared" ca="1" si="59"/>
        <v>0.25</v>
      </c>
      <c r="AM152" s="65">
        <f t="shared" ca="1" si="56"/>
        <v>13.377460416472198</v>
      </c>
      <c r="AN152" s="66">
        <f t="shared" ca="1" si="57"/>
        <v>165</v>
      </c>
      <c r="AO152" s="56">
        <f t="shared" ca="1" si="61"/>
        <v>8.1075517675589084E-2</v>
      </c>
      <c r="AP152" t="str">
        <f t="shared" si="62"/>
        <v>Non-Residential Building_46082</v>
      </c>
      <c r="AQ152" t="str">
        <f t="shared" si="63"/>
        <v>Interior_46082</v>
      </c>
    </row>
    <row r="153" spans="31:43" ht="15.6" thickTop="1" thickBot="1">
      <c r="AE153" s="59" t="str">
        <f t="shared" si="64"/>
        <v>Non-Residential Building</v>
      </c>
      <c r="AF153" s="57" t="s">
        <v>44</v>
      </c>
      <c r="AG153" s="60">
        <f t="shared" si="65"/>
        <v>46082</v>
      </c>
      <c r="AH153" s="79">
        <f ca="1">IFERROR(INDEX('Core Inputs Interface'!$1:$1048576,MATCH($AE153,'Core Inputs Interface'!$H:$H,0),MATCH($AG153,'Core Inputs Interface'!$17:$17,0)),"")</f>
        <v>5500</v>
      </c>
      <c r="AI153" s="55">
        <f t="shared" si="58"/>
        <v>0</v>
      </c>
      <c r="AJ153" s="55">
        <f t="shared" si="54"/>
        <v>0.14985905317691026</v>
      </c>
      <c r="AK153" s="55">
        <f t="shared" si="55"/>
        <v>0.6</v>
      </c>
      <c r="AL153" s="55">
        <f t="shared" ca="1" si="59"/>
        <v>0.25</v>
      </c>
      <c r="AM153" s="65">
        <f t="shared" ca="1" si="56"/>
        <v>0</v>
      </c>
      <c r="AN153" s="66">
        <f t="shared" ca="1" si="57"/>
        <v>0</v>
      </c>
      <c r="AO153" s="56">
        <f t="shared" ca="1" si="61"/>
        <v>0</v>
      </c>
      <c r="AP153" t="str">
        <f t="shared" si="62"/>
        <v>Non-Residential Building_46082</v>
      </c>
      <c r="AQ153" t="str">
        <f t="shared" si="63"/>
        <v>Bitumen_46082</v>
      </c>
    </row>
    <row r="154" spans="31:43" ht="15.6" thickTop="1" thickBot="1">
      <c r="AE154" s="59" t="str">
        <f t="shared" si="64"/>
        <v>Non-Residential Building</v>
      </c>
      <c r="AF154" s="57" t="s">
        <v>46</v>
      </c>
      <c r="AG154" s="60">
        <f t="shared" si="65"/>
        <v>46082</v>
      </c>
      <c r="AH154" s="79">
        <f ca="1">IFERROR(INDEX('Core Inputs Interface'!$1:$1048576,MATCH($AE154,'Core Inputs Interface'!$H:$H,0),MATCH($AG154,'Core Inputs Interface'!$17:$17,0)),"")</f>
        <v>5500</v>
      </c>
      <c r="AI154" s="55">
        <f t="shared" si="58"/>
        <v>5.0000000000000001E-3</v>
      </c>
      <c r="AJ154" s="55">
        <f t="shared" si="54"/>
        <v>0.12828361767948987</v>
      </c>
      <c r="AK154" s="55">
        <f t="shared" si="55"/>
        <v>0.6</v>
      </c>
      <c r="AL154" s="55">
        <f t="shared" ca="1" si="59"/>
        <v>0.25</v>
      </c>
      <c r="AM154" s="65">
        <f t="shared" ca="1" si="56"/>
        <v>0.52916992292789566</v>
      </c>
      <c r="AN154" s="66">
        <f t="shared" ca="1" si="57"/>
        <v>27.5</v>
      </c>
      <c r="AO154" s="56">
        <f t="shared" ca="1" si="61"/>
        <v>1.9242542651923478E-2</v>
      </c>
      <c r="AP154" t="str">
        <f t="shared" si="62"/>
        <v>Non-Residential Building_46082</v>
      </c>
      <c r="AQ154" t="str">
        <f t="shared" si="63"/>
        <v>Polyethylene pipes_46082</v>
      </c>
    </row>
    <row r="155" spans="31:43" ht="15.6" thickTop="1" thickBot="1">
      <c r="AE155" s="59" t="str">
        <f t="shared" si="64"/>
        <v>Non-Residential Building</v>
      </c>
      <c r="AF155" s="57" t="s">
        <v>48</v>
      </c>
      <c r="AG155" s="60">
        <f t="shared" si="65"/>
        <v>46082</v>
      </c>
      <c r="AH155" s="79">
        <f ca="1">IFERROR(INDEX('Core Inputs Interface'!$1:$1048576,MATCH($AE155,'Core Inputs Interface'!$H:$H,0),MATCH($AG155,'Core Inputs Interface'!$17:$17,0)),"")</f>
        <v>5500</v>
      </c>
      <c r="AI155" s="55">
        <f t="shared" si="58"/>
        <v>8.5000000000000006E-2</v>
      </c>
      <c r="AJ155" s="55">
        <f t="shared" si="54"/>
        <v>0.31546495432215926</v>
      </c>
      <c r="AK155" s="55">
        <f t="shared" si="55"/>
        <v>0.8</v>
      </c>
      <c r="AL155" s="55">
        <f t="shared" ca="1" si="59"/>
        <v>0.25</v>
      </c>
      <c r="AM155" s="65">
        <f t="shared" ca="1" si="56"/>
        <v>29.495973229121894</v>
      </c>
      <c r="AN155" s="66">
        <f t="shared" ca="1" si="57"/>
        <v>467.50000000000006</v>
      </c>
      <c r="AO155" s="56">
        <f t="shared" ca="1" si="61"/>
        <v>6.3092990864431847E-2</v>
      </c>
      <c r="AP155" t="str">
        <f t="shared" si="62"/>
        <v>Non-Residential Building_46082</v>
      </c>
      <c r="AQ155" t="str">
        <f t="shared" si="63"/>
        <v>Plant and equipment_46082</v>
      </c>
    </row>
    <row r="156" spans="31:43" ht="15.6" thickTop="1" thickBot="1">
      <c r="AE156" s="59" t="str">
        <f t="shared" si="64"/>
        <v>Non-Residential Building</v>
      </c>
      <c r="AF156" s="57" t="s">
        <v>50</v>
      </c>
      <c r="AG156" s="60">
        <f t="shared" si="65"/>
        <v>46082</v>
      </c>
      <c r="AH156" s="79">
        <f ca="1">IFERROR(INDEX('Core Inputs Interface'!$1:$1048576,MATCH($AE156,'Core Inputs Interface'!$H:$H,0),MATCH($AG156,'Core Inputs Interface'!$17:$17,0)),"")</f>
        <v>5500</v>
      </c>
      <c r="AI156" s="55">
        <f t="shared" si="58"/>
        <v>0.05</v>
      </c>
      <c r="AJ156" s="55">
        <f t="shared" si="54"/>
        <v>0.48556692694591386</v>
      </c>
      <c r="AK156" s="55">
        <f t="shared" si="55"/>
        <v>0.8</v>
      </c>
      <c r="AL156" s="55">
        <f t="shared" ca="1" si="59"/>
        <v>0.25</v>
      </c>
      <c r="AM156" s="65">
        <f t="shared" ca="1" si="56"/>
        <v>26.706180982025263</v>
      </c>
      <c r="AN156" s="66">
        <f t="shared" ca="1" si="57"/>
        <v>275</v>
      </c>
      <c r="AO156" s="56">
        <f t="shared" ca="1" si="61"/>
        <v>9.711338538918278E-2</v>
      </c>
      <c r="AP156" t="str">
        <f t="shared" si="62"/>
        <v>Non-Residential Building_46082</v>
      </c>
      <c r="AQ156" t="str">
        <f t="shared" si="63"/>
        <v>Electrical equipment_46082</v>
      </c>
    </row>
    <row r="157" spans="31:43" ht="15.6" thickTop="1" thickBot="1">
      <c r="AE157" s="59" t="str">
        <f t="shared" si="64"/>
        <v>Non-Residential Building</v>
      </c>
      <c r="AF157" s="57" t="s">
        <v>52</v>
      </c>
      <c r="AG157" s="60">
        <f t="shared" si="65"/>
        <v>46082</v>
      </c>
      <c r="AH157" s="79">
        <f ca="1">IFERROR(INDEX('Core Inputs Interface'!$1:$1048576,MATCH($AE157,'Core Inputs Interface'!$H:$H,0),MATCH($AG157,'Core Inputs Interface'!$17:$17,0)),"")</f>
        <v>5500</v>
      </c>
      <c r="AI157" s="55">
        <f t="shared" si="58"/>
        <v>0</v>
      </c>
      <c r="AJ157" s="55">
        <f t="shared" si="54"/>
        <v>0.23440288076987165</v>
      </c>
      <c r="AK157" s="55">
        <f t="shared" si="55"/>
        <v>0.8</v>
      </c>
      <c r="AL157" s="55">
        <f t="shared" ca="1" si="59"/>
        <v>0.25</v>
      </c>
      <c r="AM157" s="65">
        <f t="shared" ca="1" si="56"/>
        <v>0</v>
      </c>
      <c r="AN157" s="66">
        <f t="shared" ca="1" si="57"/>
        <v>0</v>
      </c>
      <c r="AO157" s="56">
        <f t="shared" ca="1" si="61"/>
        <v>0</v>
      </c>
      <c r="AP157" t="str">
        <f t="shared" si="62"/>
        <v>Non-Residential Building_46082</v>
      </c>
      <c r="AQ157" t="str">
        <f t="shared" si="63"/>
        <v>Road equipment_46082</v>
      </c>
    </row>
    <row r="158" spans="31:43" ht="15.6" thickTop="1" thickBot="1">
      <c r="AE158" s="59" t="str">
        <f t="shared" si="64"/>
        <v>Non-Residential Building</v>
      </c>
      <c r="AF158" s="57" t="s">
        <v>54</v>
      </c>
      <c r="AG158" s="60">
        <f t="shared" si="65"/>
        <v>46082</v>
      </c>
      <c r="AH158" s="79">
        <f ca="1">IFERROR(INDEX('Core Inputs Interface'!$1:$1048576,MATCH($AE158,'Core Inputs Interface'!$H:$H,0),MATCH($AG158,'Core Inputs Interface'!$17:$17,0)),"")</f>
        <v>5500</v>
      </c>
      <c r="AI158" s="55">
        <f t="shared" si="58"/>
        <v>0</v>
      </c>
      <c r="AJ158" s="55">
        <f t="shared" si="54"/>
        <v>0.53411483886586031</v>
      </c>
      <c r="AK158" s="55">
        <f t="shared" si="55"/>
        <v>0.8</v>
      </c>
      <c r="AL158" s="55">
        <f t="shared" ca="1" si="59"/>
        <v>0.25</v>
      </c>
      <c r="AM158" s="65">
        <f t="shared" ca="1" si="56"/>
        <v>0</v>
      </c>
      <c r="AN158" s="66">
        <f t="shared" ca="1" si="57"/>
        <v>0</v>
      </c>
      <c r="AO158" s="56">
        <f t="shared" ca="1" si="61"/>
        <v>0</v>
      </c>
      <c r="AP158" t="str">
        <f t="shared" si="62"/>
        <v>Non-Residential Building_46082</v>
      </c>
      <c r="AQ158" t="str">
        <f t="shared" si="63"/>
        <v>Water equipment_46082</v>
      </c>
    </row>
    <row r="159" spans="31:43" ht="15.6" thickTop="1" thickBot="1">
      <c r="AE159" s="59" t="str">
        <f t="shared" si="64"/>
        <v>Non-Residential Building</v>
      </c>
      <c r="AF159" s="57" t="s">
        <v>56</v>
      </c>
      <c r="AG159" s="60">
        <f t="shared" si="65"/>
        <v>46082</v>
      </c>
      <c r="AH159" s="79">
        <f ca="1">IFERROR(INDEX('Core Inputs Interface'!$1:$1048576,MATCH($AE159,'Core Inputs Interface'!$H:$H,0),MATCH($AG159,'Core Inputs Interface'!$17:$17,0)),"")</f>
        <v>5500</v>
      </c>
      <c r="AI159" s="55">
        <f t="shared" si="58"/>
        <v>5.5E-2</v>
      </c>
      <c r="AJ159" s="55">
        <f t="shared" si="54"/>
        <v>0.45356302165418505</v>
      </c>
      <c r="AK159" s="55">
        <f t="shared" si="55"/>
        <v>0.6</v>
      </c>
      <c r="AL159" s="55">
        <f t="shared" ca="1" si="59"/>
        <v>0.1</v>
      </c>
      <c r="AM159" s="65">
        <f t="shared" ca="1" si="56"/>
        <v>8.232168843023457</v>
      </c>
      <c r="AN159" s="66">
        <f t="shared" ca="1" si="57"/>
        <v>302.5</v>
      </c>
      <c r="AO159" s="56">
        <f t="shared" ca="1" si="61"/>
        <v>2.7213781299251099E-2</v>
      </c>
      <c r="AP159" t="str">
        <f t="shared" si="62"/>
        <v>Non-Residential Building_46082</v>
      </c>
      <c r="AQ159" t="str">
        <f t="shared" si="63"/>
        <v>Diesel_46082</v>
      </c>
    </row>
    <row r="160" spans="31:43" ht="15.6" thickTop="1" thickBot="1">
      <c r="AE160" s="59" t="str">
        <f t="shared" si="64"/>
        <v>Non-Residential Building</v>
      </c>
      <c r="AF160" s="57" t="s">
        <v>49</v>
      </c>
      <c r="AG160" s="60">
        <f t="shared" si="65"/>
        <v>46082</v>
      </c>
      <c r="AH160" s="79">
        <f ca="1">IFERROR(INDEX('Core Inputs Interface'!$1:$1048576,MATCH($AE160,'Core Inputs Interface'!$H:$H,0),MATCH($AG160,'Core Inputs Interface'!$17:$17,0)),"")</f>
        <v>5500</v>
      </c>
      <c r="AI160" s="55">
        <f t="shared" si="58"/>
        <v>0</v>
      </c>
      <c r="AJ160" s="55">
        <f t="shared" si="54"/>
        <v>0.52451068102476561</v>
      </c>
      <c r="AK160" s="55">
        <f t="shared" si="55"/>
        <v>0.8</v>
      </c>
      <c r="AL160" s="55">
        <f t="shared" ca="1" si="59"/>
        <v>0.25</v>
      </c>
      <c r="AM160" s="65">
        <f t="shared" ca="1" si="56"/>
        <v>0</v>
      </c>
      <c r="AN160" s="66">
        <f t="shared" ca="1" si="57"/>
        <v>0</v>
      </c>
      <c r="AO160" s="56">
        <f t="shared" ca="1" si="61"/>
        <v>0</v>
      </c>
      <c r="AP160" t="str">
        <f t="shared" si="62"/>
        <v>Non-Residential Building_46082</v>
      </c>
      <c r="AQ160" t="str">
        <f t="shared" si="63"/>
        <v>Vehicles_46082</v>
      </c>
    </row>
    <row r="161" spans="31:43" ht="15.6" thickTop="1" thickBot="1">
      <c r="AE161" s="59" t="str">
        <f>AE160</f>
        <v>Non-Residential Building</v>
      </c>
      <c r="AF161" s="57" t="s">
        <v>51</v>
      </c>
      <c r="AG161" s="60">
        <f>AG160</f>
        <v>46082</v>
      </c>
      <c r="AH161" s="79">
        <f ca="1">IFERROR(INDEX('Core Inputs Interface'!$1:$1048576,MATCH($AE161,'Core Inputs Interface'!$H:$H,0),MATCH($AG161,'Core Inputs Interface'!$17:$17,0)),"")</f>
        <v>5500</v>
      </c>
      <c r="AI161" s="55">
        <f t="shared" si="58"/>
        <v>0</v>
      </c>
      <c r="AJ161" s="55">
        <f t="shared" si="54"/>
        <v>0.39238740022595126</v>
      </c>
      <c r="AK161" s="55">
        <f t="shared" si="55"/>
        <v>0.8</v>
      </c>
      <c r="AL161" s="55">
        <f t="shared" ca="1" si="59"/>
        <v>0.25</v>
      </c>
      <c r="AM161" s="65">
        <f t="shared" ca="1" si="56"/>
        <v>0</v>
      </c>
      <c r="AN161" s="66">
        <f t="shared" ca="1" si="57"/>
        <v>0</v>
      </c>
      <c r="AO161" s="56">
        <f ca="1">IFERROR(AM161/AN161,0)</f>
        <v>0</v>
      </c>
      <c r="AP161" t="str">
        <f>_xlfn.TEXTJOIN("_",,$AE161,$AG161)</f>
        <v>Non-Residential Building_46082</v>
      </c>
      <c r="AQ161" t="str">
        <f>_xlfn.TEXTJOIN("_",,$AF161,$AG161)</f>
        <v>Machinery &amp; Equipment_46082</v>
      </c>
    </row>
    <row r="162" spans="31:43" ht="15.6" thickTop="1" thickBot="1">
      <c r="AE162" s="59" t="str">
        <f>AE161</f>
        <v>Non-Residential Building</v>
      </c>
      <c r="AF162" s="57" t="s">
        <v>53</v>
      </c>
      <c r="AG162" s="60">
        <f>AG161</f>
        <v>46082</v>
      </c>
      <c r="AH162" s="79">
        <f ca="1">IFERROR(INDEX('Core Inputs Interface'!$1:$1048576,MATCH($AE162,'Core Inputs Interface'!$H:$H,0),MATCH($AG162,'Core Inputs Interface'!$17:$17,0)),"")</f>
        <v>5500</v>
      </c>
      <c r="AI162" s="55">
        <f t="shared" si="58"/>
        <v>0</v>
      </c>
      <c r="AJ162" s="55">
        <f t="shared" si="54"/>
        <v>0.15</v>
      </c>
      <c r="AK162" s="55">
        <f t="shared" si="55"/>
        <v>0.8</v>
      </c>
      <c r="AL162" s="55">
        <f t="shared" ca="1" si="59"/>
        <v>0.25</v>
      </c>
      <c r="AM162" s="65">
        <f t="shared" ca="1" si="56"/>
        <v>0</v>
      </c>
      <c r="AN162" s="66">
        <f t="shared" ca="1" si="57"/>
        <v>0</v>
      </c>
      <c r="AO162" s="56">
        <f ca="1">IFERROR(AM162/AN162,0)</f>
        <v>0</v>
      </c>
      <c r="AP162" t="str">
        <f>_xlfn.TEXTJOIN("_",,$AE162,$AG162)</f>
        <v>Non-Residential Building_46082</v>
      </c>
      <c r="AQ162" t="str">
        <f>_xlfn.TEXTJOIN("_",,$AF162,$AG162)</f>
        <v>Office Equipment &amp; IT_46082</v>
      </c>
    </row>
    <row r="163" spans="31:43" ht="15.6" thickTop="1" thickBot="1">
      <c r="AE163" s="59" t="str">
        <f>AE160</f>
        <v>Non-Residential Building</v>
      </c>
      <c r="AF163" s="59" t="str">
        <f t="shared" ref="AF163:AF182" si="66">AF141</f>
        <v>Labour</v>
      </c>
      <c r="AG163" s="61">
        <f>EDATE(AG141,12)</f>
        <v>46447</v>
      </c>
      <c r="AH163" s="79">
        <f ca="1">IFERROR(INDEX('Core Inputs Interface'!$1:$1048576,MATCH($AE163,'Core Inputs Interface'!$H:$H,0),MATCH($AG163,'Core Inputs Interface'!$17:$17,0)),"")</f>
        <v>5780</v>
      </c>
      <c r="AI163" s="55">
        <f t="shared" si="58"/>
        <v>0.41499999999999998</v>
      </c>
      <c r="AJ163" s="55" t="str">
        <f t="shared" si="54"/>
        <v>N/A</v>
      </c>
      <c r="AK163" s="55" t="str">
        <f t="shared" si="55"/>
        <v>N/A</v>
      </c>
      <c r="AL163" s="55" t="str">
        <f t="shared" ca="1" si="59"/>
        <v>N/A</v>
      </c>
      <c r="AM163" s="65">
        <f t="shared" ca="1" si="56"/>
        <v>0</v>
      </c>
      <c r="AN163" s="66">
        <f t="shared" ca="1" si="57"/>
        <v>2398.6999999999998</v>
      </c>
      <c r="AO163" s="56">
        <f t="shared" ref="AO163:AO182" ca="1" si="67">IFERROR(AM163/AN163,0)</f>
        <v>0</v>
      </c>
      <c r="AP163" t="str">
        <f t="shared" si="62"/>
        <v>Non-Residential Building_46447</v>
      </c>
      <c r="AQ163" t="str">
        <f t="shared" si="63"/>
        <v>Labour_46447</v>
      </c>
    </row>
    <row r="164" spans="31:43" ht="15.6" thickTop="1" thickBot="1">
      <c r="AE164" s="59" t="str">
        <f t="shared" si="64"/>
        <v>Non-Residential Building</v>
      </c>
      <c r="AF164" s="59" t="str">
        <f t="shared" si="66"/>
        <v>Engineering design</v>
      </c>
      <c r="AG164" s="60">
        <f>AG163</f>
        <v>46447</v>
      </c>
      <c r="AH164" s="79">
        <f ca="1">IFERROR(INDEX('Core Inputs Interface'!$1:$1048576,MATCH($AE164,'Core Inputs Interface'!$H:$H,0),MATCH($AG164,'Core Inputs Interface'!$17:$17,0)),"")</f>
        <v>5780</v>
      </c>
      <c r="AI164" s="55">
        <f t="shared" si="58"/>
        <v>1.4999999999999999E-2</v>
      </c>
      <c r="AJ164" s="55" t="str">
        <f t="shared" si="54"/>
        <v>N/A</v>
      </c>
      <c r="AK164" s="55" t="str">
        <f t="shared" si="55"/>
        <v>N/A</v>
      </c>
      <c r="AL164" s="55" t="str">
        <f t="shared" ca="1" si="59"/>
        <v>N/A</v>
      </c>
      <c r="AM164" s="65">
        <f t="shared" ca="1" si="56"/>
        <v>0</v>
      </c>
      <c r="AN164" s="66">
        <f t="shared" ca="1" si="57"/>
        <v>86.7</v>
      </c>
      <c r="AO164" s="56">
        <f t="shared" ca="1" si="67"/>
        <v>0</v>
      </c>
      <c r="AP164" t="str">
        <f t="shared" si="62"/>
        <v>Non-Residential Building_46447</v>
      </c>
      <c r="AQ164" t="str">
        <f t="shared" si="63"/>
        <v>Engineering design_46447</v>
      </c>
    </row>
    <row r="165" spans="31:43" ht="15.6" thickTop="1" thickBot="1">
      <c r="AE165" s="59" t="str">
        <f t="shared" si="64"/>
        <v>Non-Residential Building</v>
      </c>
      <c r="AF165" s="59" t="str">
        <f t="shared" si="66"/>
        <v>Reinforcing bar</v>
      </c>
      <c r="AG165" s="60">
        <f t="shared" ref="AG165:AG182" si="68">AG164</f>
        <v>46447</v>
      </c>
      <c r="AH165" s="79">
        <f ca="1">IFERROR(INDEX('Core Inputs Interface'!$1:$1048576,MATCH($AE165,'Core Inputs Interface'!$H:$H,0),MATCH($AG165,'Core Inputs Interface'!$17:$17,0)),"")</f>
        <v>5780</v>
      </c>
      <c r="AI165" s="55">
        <f t="shared" si="58"/>
        <v>0.05</v>
      </c>
      <c r="AJ165" s="55">
        <f t="shared" si="54"/>
        <v>8.4066217963502693E-2</v>
      </c>
      <c r="AK165" s="55">
        <f t="shared" si="55"/>
        <v>0.6</v>
      </c>
      <c r="AL165" s="55">
        <f t="shared" ca="1" si="59"/>
        <v>0.25</v>
      </c>
      <c r="AM165" s="65">
        <f t="shared" ca="1" si="56"/>
        <v>3.6442705487178415</v>
      </c>
      <c r="AN165" s="66">
        <f t="shared" ca="1" si="57"/>
        <v>289</v>
      </c>
      <c r="AO165" s="56">
        <f t="shared" ca="1" si="67"/>
        <v>1.2609932694525403E-2</v>
      </c>
      <c r="AP165" t="str">
        <f t="shared" si="62"/>
        <v>Non-Residential Building_46447</v>
      </c>
      <c r="AQ165" t="str">
        <f t="shared" si="63"/>
        <v>Reinforcing bar_46447</v>
      </c>
    </row>
    <row r="166" spans="31:43" ht="15.6" thickTop="1" thickBot="1">
      <c r="AE166" s="59" t="str">
        <f t="shared" si="64"/>
        <v>Non-Residential Building</v>
      </c>
      <c r="AF166" s="59" t="str">
        <f t="shared" si="66"/>
        <v>Structural steel</v>
      </c>
      <c r="AG166" s="60">
        <f t="shared" si="68"/>
        <v>46447</v>
      </c>
      <c r="AH166" s="79">
        <f ca="1">IFERROR(INDEX('Core Inputs Interface'!$1:$1048576,MATCH($AE166,'Core Inputs Interface'!$H:$H,0),MATCH($AG166,'Core Inputs Interface'!$17:$17,0)),"")</f>
        <v>5780</v>
      </c>
      <c r="AI166" s="55">
        <f t="shared" si="58"/>
        <v>0.03</v>
      </c>
      <c r="AJ166" s="55">
        <f t="shared" si="54"/>
        <v>0.52500514810102583</v>
      </c>
      <c r="AK166" s="55">
        <f t="shared" si="55"/>
        <v>0.6</v>
      </c>
      <c r="AL166" s="55">
        <f t="shared" ca="1" si="59"/>
        <v>0.25</v>
      </c>
      <c r="AM166" s="65">
        <f t="shared" ca="1" si="56"/>
        <v>13.655383902107681</v>
      </c>
      <c r="AN166" s="66">
        <f t="shared" ca="1" si="57"/>
        <v>173.4</v>
      </c>
      <c r="AO166" s="56">
        <f t="shared" ca="1" si="67"/>
        <v>7.8750772215153864E-2</v>
      </c>
      <c r="AP166" t="str">
        <f t="shared" si="62"/>
        <v>Non-Residential Building_46447</v>
      </c>
      <c r="AQ166" t="str">
        <f t="shared" si="63"/>
        <v>Structural steel_46447</v>
      </c>
    </row>
    <row r="167" spans="31:43" ht="15.6" thickTop="1" thickBot="1">
      <c r="AE167" s="59" t="str">
        <f t="shared" si="64"/>
        <v>Non-Residential Building</v>
      </c>
      <c r="AF167" s="59" t="str">
        <f t="shared" si="66"/>
        <v>Quarry Material</v>
      </c>
      <c r="AG167" s="60">
        <f t="shared" si="68"/>
        <v>46447</v>
      </c>
      <c r="AH167" s="79">
        <f ca="1">IFERROR(INDEX('Core Inputs Interface'!$1:$1048576,MATCH($AE167,'Core Inputs Interface'!$H:$H,0),MATCH($AG167,'Core Inputs Interface'!$17:$17,0)),"")</f>
        <v>5780</v>
      </c>
      <c r="AI167" s="55">
        <f t="shared" si="58"/>
        <v>0</v>
      </c>
      <c r="AJ167" s="55">
        <f t="shared" si="54"/>
        <v>9.1004090556242881E-2</v>
      </c>
      <c r="AK167" s="55">
        <f t="shared" si="55"/>
        <v>0.6</v>
      </c>
      <c r="AL167" s="55">
        <f t="shared" ca="1" si="59"/>
        <v>0.25</v>
      </c>
      <c r="AM167" s="65">
        <f t="shared" ca="1" si="56"/>
        <v>0</v>
      </c>
      <c r="AN167" s="66">
        <f t="shared" ca="1" si="57"/>
        <v>0</v>
      </c>
      <c r="AO167" s="56">
        <f t="shared" ca="1" si="67"/>
        <v>0</v>
      </c>
      <c r="AP167" t="str">
        <f t="shared" si="62"/>
        <v>Non-Residential Building_46447</v>
      </c>
      <c r="AQ167" t="str">
        <f t="shared" si="63"/>
        <v>Quarry Material_46447</v>
      </c>
    </row>
    <row r="168" spans="31:43" ht="15.6" thickTop="1" thickBot="1">
      <c r="AE168" s="59" t="str">
        <f t="shared" si="64"/>
        <v>Non-Residential Building</v>
      </c>
      <c r="AF168" s="59" t="str">
        <f t="shared" si="66"/>
        <v>Concrete</v>
      </c>
      <c r="AG168" s="60">
        <f t="shared" si="68"/>
        <v>46447</v>
      </c>
      <c r="AH168" s="79">
        <f ca="1">IFERROR(INDEX('Core Inputs Interface'!$1:$1048576,MATCH($AE168,'Core Inputs Interface'!$H:$H,0),MATCH($AG168,'Core Inputs Interface'!$17:$17,0)),"")</f>
        <v>5780</v>
      </c>
      <c r="AI168" s="55">
        <f t="shared" si="58"/>
        <v>0.1</v>
      </c>
      <c r="AJ168" s="55">
        <f t="shared" si="54"/>
        <v>1.1472584695084088E-2</v>
      </c>
      <c r="AK168" s="55">
        <f t="shared" si="55"/>
        <v>0.6</v>
      </c>
      <c r="AL168" s="55">
        <f t="shared" ca="1" si="59"/>
        <v>0.25</v>
      </c>
      <c r="AM168" s="65">
        <f t="shared" ca="1" si="56"/>
        <v>0.99467309306379037</v>
      </c>
      <c r="AN168" s="66">
        <f t="shared" ca="1" si="57"/>
        <v>578</v>
      </c>
      <c r="AO168" s="56">
        <f t="shared" ca="1" si="67"/>
        <v>1.720887704262613E-3</v>
      </c>
      <c r="AP168" t="str">
        <f t="shared" si="62"/>
        <v>Non-Residential Building_46447</v>
      </c>
      <c r="AQ168" t="str">
        <f t="shared" si="63"/>
        <v>Concrete_46447</v>
      </c>
    </row>
    <row r="169" spans="31:43" ht="15.6" thickTop="1" thickBot="1">
      <c r="AE169" s="59" t="str">
        <f t="shared" si="64"/>
        <v>Non-Residential Building</v>
      </c>
      <c r="AF169" s="59" t="str">
        <f t="shared" si="66"/>
        <v>Masonry</v>
      </c>
      <c r="AG169" s="60">
        <f t="shared" si="68"/>
        <v>46447</v>
      </c>
      <c r="AH169" s="79">
        <f ca="1">IFERROR(INDEX('Core Inputs Interface'!$1:$1048576,MATCH($AE169,'Core Inputs Interface'!$H:$H,0),MATCH($AG169,'Core Inputs Interface'!$17:$17,0)),"")</f>
        <v>5780</v>
      </c>
      <c r="AI169" s="55">
        <f t="shared" si="58"/>
        <v>0.02</v>
      </c>
      <c r="AJ169" s="55">
        <f t="shared" si="54"/>
        <v>9.8410961434768088E-2</v>
      </c>
      <c r="AK169" s="55">
        <f t="shared" si="55"/>
        <v>0.6</v>
      </c>
      <c r="AL169" s="55">
        <f t="shared" ca="1" si="59"/>
        <v>0.25</v>
      </c>
      <c r="AM169" s="65">
        <f t="shared" ca="1" si="56"/>
        <v>1.7064460712788787</v>
      </c>
      <c r="AN169" s="66">
        <f t="shared" ca="1" si="57"/>
        <v>115.60000000000001</v>
      </c>
      <c r="AO169" s="56">
        <f t="shared" ca="1" si="67"/>
        <v>1.4761644215215213E-2</v>
      </c>
      <c r="AP169" t="str">
        <f t="shared" si="62"/>
        <v>Non-Residential Building_46447</v>
      </c>
      <c r="AQ169" t="str">
        <f t="shared" si="63"/>
        <v>Masonry_46447</v>
      </c>
    </row>
    <row r="170" spans="31:43" ht="15.6" thickTop="1" thickBot="1">
      <c r="AE170" s="59" t="str">
        <f t="shared" si="64"/>
        <v>Non-Residential Building</v>
      </c>
      <c r="AF170" s="59" t="str">
        <f t="shared" si="66"/>
        <v>Wood</v>
      </c>
      <c r="AG170" s="60">
        <f t="shared" si="68"/>
        <v>46447</v>
      </c>
      <c r="AH170" s="79">
        <f ca="1">IFERROR(INDEX('Core Inputs Interface'!$1:$1048576,MATCH($AE170,'Core Inputs Interface'!$H:$H,0),MATCH($AG170,'Core Inputs Interface'!$17:$17,0)),"")</f>
        <v>5780</v>
      </c>
      <c r="AI170" s="55">
        <f t="shared" si="58"/>
        <v>1.4999999999999999E-2</v>
      </c>
      <c r="AJ170" s="55">
        <f t="shared" si="54"/>
        <v>0.13840817436677436</v>
      </c>
      <c r="AK170" s="55">
        <f t="shared" si="55"/>
        <v>0.6</v>
      </c>
      <c r="AL170" s="55">
        <f t="shared" ca="1" si="59"/>
        <v>0.25</v>
      </c>
      <c r="AM170" s="65">
        <f t="shared" ca="1" si="56"/>
        <v>1.7999983076399004</v>
      </c>
      <c r="AN170" s="66">
        <f t="shared" ca="1" si="57"/>
        <v>86.7</v>
      </c>
      <c r="AO170" s="56">
        <f t="shared" ca="1" si="67"/>
        <v>2.0761226155016153E-2</v>
      </c>
      <c r="AP170" t="str">
        <f t="shared" si="62"/>
        <v>Non-Residential Building_46447</v>
      </c>
      <c r="AQ170" t="str">
        <f t="shared" si="63"/>
        <v>Wood_46447</v>
      </c>
    </row>
    <row r="171" spans="31:43" ht="15.6" thickTop="1" thickBot="1">
      <c r="AE171" s="59" t="str">
        <f t="shared" si="64"/>
        <v>Non-Residential Building</v>
      </c>
      <c r="AF171" s="59" t="str">
        <f t="shared" si="66"/>
        <v>Electrical wire</v>
      </c>
      <c r="AG171" s="60">
        <f t="shared" si="68"/>
        <v>46447</v>
      </c>
      <c r="AH171" s="79">
        <f ca="1">IFERROR(INDEX('Core Inputs Interface'!$1:$1048576,MATCH($AE171,'Core Inputs Interface'!$H:$H,0),MATCH($AG171,'Core Inputs Interface'!$17:$17,0)),"")</f>
        <v>5780</v>
      </c>
      <c r="AI171" s="55">
        <f t="shared" si="58"/>
        <v>0.03</v>
      </c>
      <c r="AJ171" s="55">
        <f t="shared" si="54"/>
        <v>0.80654510583379313</v>
      </c>
      <c r="AK171" s="55">
        <f t="shared" si="55"/>
        <v>0.6</v>
      </c>
      <c r="AL171" s="55">
        <f t="shared" ca="1" si="59"/>
        <v>0.25</v>
      </c>
      <c r="AM171" s="65">
        <f t="shared" ca="1" si="56"/>
        <v>20.978238202736957</v>
      </c>
      <c r="AN171" s="66">
        <f t="shared" ca="1" si="57"/>
        <v>173.4</v>
      </c>
      <c r="AO171" s="56">
        <f t="shared" ca="1" si="67"/>
        <v>0.12098176587506895</v>
      </c>
      <c r="AP171" t="str">
        <f t="shared" si="62"/>
        <v>Non-Residential Building_46447</v>
      </c>
      <c r="AQ171" t="str">
        <f t="shared" si="63"/>
        <v>Electrical wire_46447</v>
      </c>
    </row>
    <row r="172" spans="31:43" ht="15.6" thickTop="1" thickBot="1">
      <c r="AE172" s="59" t="str">
        <f t="shared" si="64"/>
        <v>Non-Residential Building</v>
      </c>
      <c r="AF172" s="59" t="str">
        <f t="shared" si="66"/>
        <v>Glass</v>
      </c>
      <c r="AG172" s="60">
        <f t="shared" si="68"/>
        <v>46447</v>
      </c>
      <c r="AH172" s="79">
        <f ca="1">IFERROR(INDEX('Core Inputs Interface'!$1:$1048576,MATCH($AE172,'Core Inputs Interface'!$H:$H,0),MATCH($AG172,'Core Inputs Interface'!$17:$17,0)),"")</f>
        <v>5780</v>
      </c>
      <c r="AI172" s="55">
        <f t="shared" si="58"/>
        <v>0.04</v>
      </c>
      <c r="AJ172" s="55">
        <f t="shared" si="54"/>
        <v>0.24210307145623419</v>
      </c>
      <c r="AK172" s="55">
        <f t="shared" si="55"/>
        <v>0.6</v>
      </c>
      <c r="AL172" s="55">
        <f t="shared" ca="1" si="59"/>
        <v>0.25</v>
      </c>
      <c r="AM172" s="65">
        <f t="shared" ca="1" si="56"/>
        <v>8.3961345181022011</v>
      </c>
      <c r="AN172" s="66">
        <f t="shared" ca="1" si="57"/>
        <v>231.20000000000002</v>
      </c>
      <c r="AO172" s="56">
        <f t="shared" ca="1" si="67"/>
        <v>3.6315460718435125E-2</v>
      </c>
      <c r="AP172" t="str">
        <f t="shared" si="62"/>
        <v>Non-Residential Building_46447</v>
      </c>
      <c r="AQ172" t="str">
        <f t="shared" si="63"/>
        <v>Glass_46447</v>
      </c>
    </row>
    <row r="173" spans="31:43" ht="15.6" thickTop="1" thickBot="1">
      <c r="AE173" s="59" t="str">
        <f t="shared" si="64"/>
        <v>Non-Residential Building</v>
      </c>
      <c r="AF173" s="59" t="str">
        <f t="shared" si="66"/>
        <v>Roofing</v>
      </c>
      <c r="AG173" s="60">
        <f t="shared" si="68"/>
        <v>46447</v>
      </c>
      <c r="AH173" s="79">
        <f ca="1">IFERROR(INDEX('Core Inputs Interface'!$1:$1048576,MATCH($AE173,'Core Inputs Interface'!$H:$H,0),MATCH($AG173,'Core Inputs Interface'!$17:$17,0)),"")</f>
        <v>5780</v>
      </c>
      <c r="AI173" s="55">
        <f t="shared" si="58"/>
        <v>0.06</v>
      </c>
      <c r="AJ173" s="55">
        <f t="shared" si="54"/>
        <v>2.4772729573316262E-4</v>
      </c>
      <c r="AK173" s="55">
        <f t="shared" si="55"/>
        <v>0.6</v>
      </c>
      <c r="AL173" s="55">
        <f t="shared" ca="1" si="59"/>
        <v>0.25</v>
      </c>
      <c r="AM173" s="65">
        <f t="shared" ca="1" si="56"/>
        <v>1.288677392403912E-2</v>
      </c>
      <c r="AN173" s="66">
        <f t="shared" ca="1" si="57"/>
        <v>346.8</v>
      </c>
      <c r="AO173" s="56">
        <f t="shared" ca="1" si="67"/>
        <v>3.7159094359974391E-5</v>
      </c>
      <c r="AP173" t="str">
        <f t="shared" si="62"/>
        <v>Non-Residential Building_46447</v>
      </c>
      <c r="AQ173" t="str">
        <f t="shared" si="63"/>
        <v>Roofing_46447</v>
      </c>
    </row>
    <row r="174" spans="31:43" ht="15.6" thickTop="1" thickBot="1">
      <c r="AE174" s="59" t="str">
        <f t="shared" si="64"/>
        <v>Non-Residential Building</v>
      </c>
      <c r="AF174" s="59" t="str">
        <f t="shared" si="66"/>
        <v>Interior</v>
      </c>
      <c r="AG174" s="60">
        <f t="shared" si="68"/>
        <v>46447</v>
      </c>
      <c r="AH174" s="79">
        <f ca="1">IFERROR(INDEX('Core Inputs Interface'!$1:$1048576,MATCH($AE174,'Core Inputs Interface'!$H:$H,0),MATCH($AG174,'Core Inputs Interface'!$17:$17,0)),"")</f>
        <v>5780</v>
      </c>
      <c r="AI174" s="55">
        <f t="shared" si="58"/>
        <v>0.03</v>
      </c>
      <c r="AJ174" s="55">
        <f t="shared" si="54"/>
        <v>0.54050345117059384</v>
      </c>
      <c r="AK174" s="55">
        <f t="shared" si="55"/>
        <v>0.6</v>
      </c>
      <c r="AL174" s="55">
        <f t="shared" ca="1" si="59"/>
        <v>0.25</v>
      </c>
      <c r="AM174" s="65">
        <f t="shared" ca="1" si="56"/>
        <v>14.058494764947145</v>
      </c>
      <c r="AN174" s="66">
        <f t="shared" ca="1" si="57"/>
        <v>173.4</v>
      </c>
      <c r="AO174" s="56">
        <f t="shared" ca="1" si="67"/>
        <v>8.1075517675589071E-2</v>
      </c>
      <c r="AP174" t="str">
        <f t="shared" si="62"/>
        <v>Non-Residential Building_46447</v>
      </c>
      <c r="AQ174" t="str">
        <f t="shared" si="63"/>
        <v>Interior_46447</v>
      </c>
    </row>
    <row r="175" spans="31:43" ht="15.6" thickTop="1" thickBot="1">
      <c r="AE175" s="59" t="str">
        <f t="shared" si="64"/>
        <v>Non-Residential Building</v>
      </c>
      <c r="AF175" s="59" t="str">
        <f t="shared" si="66"/>
        <v>Bitumen</v>
      </c>
      <c r="AG175" s="60">
        <f t="shared" si="68"/>
        <v>46447</v>
      </c>
      <c r="AH175" s="79">
        <f ca="1">IFERROR(INDEX('Core Inputs Interface'!$1:$1048576,MATCH($AE175,'Core Inputs Interface'!$H:$H,0),MATCH($AG175,'Core Inputs Interface'!$17:$17,0)),"")</f>
        <v>5780</v>
      </c>
      <c r="AI175" s="55">
        <f t="shared" si="58"/>
        <v>0</v>
      </c>
      <c r="AJ175" s="55">
        <f t="shared" si="54"/>
        <v>0.14985905317691026</v>
      </c>
      <c r="AK175" s="55">
        <f t="shared" si="55"/>
        <v>0.6</v>
      </c>
      <c r="AL175" s="55">
        <f t="shared" ca="1" si="59"/>
        <v>0.25</v>
      </c>
      <c r="AM175" s="65">
        <f t="shared" ca="1" si="56"/>
        <v>0</v>
      </c>
      <c r="AN175" s="66">
        <f t="shared" ca="1" si="57"/>
        <v>0</v>
      </c>
      <c r="AO175" s="56">
        <f t="shared" ca="1" si="67"/>
        <v>0</v>
      </c>
      <c r="AP175" t="str">
        <f t="shared" si="62"/>
        <v>Non-Residential Building_46447</v>
      </c>
      <c r="AQ175" t="str">
        <f t="shared" si="63"/>
        <v>Bitumen_46447</v>
      </c>
    </row>
    <row r="176" spans="31:43" ht="15.6" thickTop="1" thickBot="1">
      <c r="AE176" s="59" t="str">
        <f t="shared" si="64"/>
        <v>Non-Residential Building</v>
      </c>
      <c r="AF176" s="59" t="str">
        <f t="shared" si="66"/>
        <v>Polyethylene pipes</v>
      </c>
      <c r="AG176" s="60">
        <f t="shared" si="68"/>
        <v>46447</v>
      </c>
      <c r="AH176" s="79">
        <f ca="1">IFERROR(INDEX('Core Inputs Interface'!$1:$1048576,MATCH($AE176,'Core Inputs Interface'!$H:$H,0),MATCH($AG176,'Core Inputs Interface'!$17:$17,0)),"")</f>
        <v>5780</v>
      </c>
      <c r="AI176" s="55">
        <f t="shared" si="58"/>
        <v>5.0000000000000001E-3</v>
      </c>
      <c r="AJ176" s="55">
        <f t="shared" si="54"/>
        <v>0.12828361767948987</v>
      </c>
      <c r="AK176" s="55">
        <f t="shared" si="55"/>
        <v>0.6</v>
      </c>
      <c r="AL176" s="55">
        <f t="shared" ca="1" si="59"/>
        <v>0.25</v>
      </c>
      <c r="AM176" s="65">
        <f t="shared" ca="1" si="56"/>
        <v>0.55610948264058868</v>
      </c>
      <c r="AN176" s="66">
        <f t="shared" ca="1" si="57"/>
        <v>28.900000000000002</v>
      </c>
      <c r="AO176" s="56">
        <f t="shared" ca="1" si="67"/>
        <v>1.9242542651923482E-2</v>
      </c>
      <c r="AP176" t="str">
        <f t="shared" si="62"/>
        <v>Non-Residential Building_46447</v>
      </c>
      <c r="AQ176" t="str">
        <f t="shared" si="63"/>
        <v>Polyethylene pipes_46447</v>
      </c>
    </row>
    <row r="177" spans="30:43" ht="15.6" thickTop="1" thickBot="1">
      <c r="AE177" s="59" t="str">
        <f t="shared" si="64"/>
        <v>Non-Residential Building</v>
      </c>
      <c r="AF177" s="59" t="str">
        <f t="shared" si="66"/>
        <v>Plant and equipment</v>
      </c>
      <c r="AG177" s="60">
        <f t="shared" si="68"/>
        <v>46447</v>
      </c>
      <c r="AH177" s="79">
        <f ca="1">IFERROR(INDEX('Core Inputs Interface'!$1:$1048576,MATCH($AE177,'Core Inputs Interface'!$H:$H,0),MATCH($AG177,'Core Inputs Interface'!$17:$17,0)),"")</f>
        <v>5780</v>
      </c>
      <c r="AI177" s="55">
        <f t="shared" si="58"/>
        <v>8.5000000000000006E-2</v>
      </c>
      <c r="AJ177" s="55">
        <f t="shared" si="54"/>
        <v>0.31546495432215926</v>
      </c>
      <c r="AK177" s="55">
        <f t="shared" si="55"/>
        <v>0.8</v>
      </c>
      <c r="AL177" s="55">
        <f t="shared" ca="1" si="59"/>
        <v>0.25</v>
      </c>
      <c r="AM177" s="65">
        <f t="shared" ca="1" si="56"/>
        <v>30.997586411695369</v>
      </c>
      <c r="AN177" s="66">
        <f t="shared" ca="1" si="57"/>
        <v>491.3</v>
      </c>
      <c r="AO177" s="56">
        <f t="shared" ca="1" si="67"/>
        <v>6.3092990864431847E-2</v>
      </c>
      <c r="AP177" t="str">
        <f t="shared" si="62"/>
        <v>Non-Residential Building_46447</v>
      </c>
      <c r="AQ177" t="str">
        <f t="shared" si="63"/>
        <v>Plant and equipment_46447</v>
      </c>
    </row>
    <row r="178" spans="30:43" ht="15.6" thickTop="1" thickBot="1">
      <c r="AE178" s="59" t="str">
        <f t="shared" si="64"/>
        <v>Non-Residential Building</v>
      </c>
      <c r="AF178" s="59" t="str">
        <f t="shared" si="66"/>
        <v>Electrical equipment</v>
      </c>
      <c r="AG178" s="60">
        <f t="shared" si="68"/>
        <v>46447</v>
      </c>
      <c r="AH178" s="79">
        <f ca="1">IFERROR(INDEX('Core Inputs Interface'!$1:$1048576,MATCH($AE178,'Core Inputs Interface'!$H:$H,0),MATCH($AG178,'Core Inputs Interface'!$17:$17,0)),"")</f>
        <v>5780</v>
      </c>
      <c r="AI178" s="55">
        <f t="shared" si="58"/>
        <v>0.05</v>
      </c>
      <c r="AJ178" s="55">
        <f t="shared" si="54"/>
        <v>0.48556692694591386</v>
      </c>
      <c r="AK178" s="55">
        <f t="shared" si="55"/>
        <v>0.8</v>
      </c>
      <c r="AL178" s="55">
        <f t="shared" ca="1" si="59"/>
        <v>0.25</v>
      </c>
      <c r="AM178" s="65">
        <f t="shared" ca="1" si="56"/>
        <v>28.06576837747382</v>
      </c>
      <c r="AN178" s="66">
        <f t="shared" ca="1" si="57"/>
        <v>289</v>
      </c>
      <c r="AO178" s="56">
        <f t="shared" ca="1" si="67"/>
        <v>9.7113385389182766E-2</v>
      </c>
      <c r="AP178" t="str">
        <f t="shared" si="62"/>
        <v>Non-Residential Building_46447</v>
      </c>
      <c r="AQ178" t="str">
        <f t="shared" si="63"/>
        <v>Electrical equipment_46447</v>
      </c>
    </row>
    <row r="179" spans="30:43" ht="15.6" thickTop="1" thickBot="1">
      <c r="AE179" s="59" t="str">
        <f t="shared" si="64"/>
        <v>Non-Residential Building</v>
      </c>
      <c r="AF179" s="59" t="str">
        <f t="shared" si="66"/>
        <v>Road equipment</v>
      </c>
      <c r="AG179" s="60">
        <f t="shared" si="68"/>
        <v>46447</v>
      </c>
      <c r="AH179" s="79">
        <f ca="1">IFERROR(INDEX('Core Inputs Interface'!$1:$1048576,MATCH($AE179,'Core Inputs Interface'!$H:$H,0),MATCH($AG179,'Core Inputs Interface'!$17:$17,0)),"")</f>
        <v>5780</v>
      </c>
      <c r="AI179" s="55">
        <f t="shared" si="58"/>
        <v>0</v>
      </c>
      <c r="AJ179" s="55">
        <f t="shared" si="54"/>
        <v>0.23440288076987165</v>
      </c>
      <c r="AK179" s="55">
        <f t="shared" si="55"/>
        <v>0.8</v>
      </c>
      <c r="AL179" s="55">
        <f t="shared" ca="1" si="59"/>
        <v>0.25</v>
      </c>
      <c r="AM179" s="65">
        <f t="shared" ca="1" si="56"/>
        <v>0</v>
      </c>
      <c r="AN179" s="66">
        <f t="shared" ca="1" si="57"/>
        <v>0</v>
      </c>
      <c r="AO179" s="56">
        <f t="shared" ca="1" si="67"/>
        <v>0</v>
      </c>
      <c r="AP179" t="str">
        <f t="shared" si="62"/>
        <v>Non-Residential Building_46447</v>
      </c>
      <c r="AQ179" t="str">
        <f t="shared" si="63"/>
        <v>Road equipment_46447</v>
      </c>
    </row>
    <row r="180" spans="30:43" ht="15.6" thickTop="1" thickBot="1">
      <c r="AE180" s="59" t="str">
        <f t="shared" si="64"/>
        <v>Non-Residential Building</v>
      </c>
      <c r="AF180" s="59" t="str">
        <f t="shared" si="66"/>
        <v>Water equipment</v>
      </c>
      <c r="AG180" s="60">
        <f t="shared" si="68"/>
        <v>46447</v>
      </c>
      <c r="AH180" s="79">
        <f ca="1">IFERROR(INDEX('Core Inputs Interface'!$1:$1048576,MATCH($AE180,'Core Inputs Interface'!$H:$H,0),MATCH($AG180,'Core Inputs Interface'!$17:$17,0)),"")</f>
        <v>5780</v>
      </c>
      <c r="AI180" s="55">
        <f t="shared" si="58"/>
        <v>0</v>
      </c>
      <c r="AJ180" s="55">
        <f t="shared" si="54"/>
        <v>0.53411483886586031</v>
      </c>
      <c r="AK180" s="55">
        <f t="shared" si="55"/>
        <v>0.8</v>
      </c>
      <c r="AL180" s="55">
        <f t="shared" ca="1" si="59"/>
        <v>0.25</v>
      </c>
      <c r="AM180" s="65">
        <f t="shared" ca="1" si="56"/>
        <v>0</v>
      </c>
      <c r="AN180" s="66">
        <f t="shared" ca="1" si="57"/>
        <v>0</v>
      </c>
      <c r="AO180" s="56">
        <f t="shared" ca="1" si="67"/>
        <v>0</v>
      </c>
      <c r="AP180" t="str">
        <f t="shared" si="62"/>
        <v>Non-Residential Building_46447</v>
      </c>
      <c r="AQ180" t="str">
        <f t="shared" si="63"/>
        <v>Water equipment_46447</v>
      </c>
    </row>
    <row r="181" spans="30:43" ht="15.6" thickTop="1" thickBot="1">
      <c r="AE181" s="59" t="str">
        <f t="shared" si="64"/>
        <v>Non-Residential Building</v>
      </c>
      <c r="AF181" s="59" t="str">
        <f t="shared" si="66"/>
        <v>Diesel</v>
      </c>
      <c r="AG181" s="60">
        <f t="shared" si="68"/>
        <v>46447</v>
      </c>
      <c r="AH181" s="79">
        <f ca="1">IFERROR(INDEX('Core Inputs Interface'!$1:$1048576,MATCH($AE181,'Core Inputs Interface'!$H:$H,0),MATCH($AG181,'Core Inputs Interface'!$17:$17,0)),"")</f>
        <v>5780</v>
      </c>
      <c r="AI181" s="55">
        <f t="shared" si="58"/>
        <v>5.5E-2</v>
      </c>
      <c r="AJ181" s="55">
        <f t="shared" si="54"/>
        <v>0.45356302165418505</v>
      </c>
      <c r="AK181" s="55">
        <f t="shared" si="55"/>
        <v>0.6</v>
      </c>
      <c r="AL181" s="55">
        <f t="shared" ca="1" si="59"/>
        <v>0.1</v>
      </c>
      <c r="AM181" s="65">
        <f t="shared" ca="1" si="56"/>
        <v>8.6512610750319237</v>
      </c>
      <c r="AN181" s="66">
        <f t="shared" ca="1" si="57"/>
        <v>317.89999999999998</v>
      </c>
      <c r="AO181" s="56">
        <f t="shared" ca="1" si="67"/>
        <v>2.7213781299251099E-2</v>
      </c>
      <c r="AP181" t="str">
        <f t="shared" si="62"/>
        <v>Non-Residential Building_46447</v>
      </c>
      <c r="AQ181" t="str">
        <f t="shared" si="63"/>
        <v>Diesel_46447</v>
      </c>
    </row>
    <row r="182" spans="30:43" ht="15.6" thickTop="1" thickBot="1">
      <c r="AE182" s="59" t="str">
        <f t="shared" si="64"/>
        <v>Non-Residential Building</v>
      </c>
      <c r="AF182" s="59" t="str">
        <f t="shared" si="66"/>
        <v>Vehicles</v>
      </c>
      <c r="AG182" s="60">
        <f t="shared" si="68"/>
        <v>46447</v>
      </c>
      <c r="AH182" s="79">
        <f ca="1">IFERROR(INDEX('Core Inputs Interface'!$1:$1048576,MATCH($AE182,'Core Inputs Interface'!$H:$H,0),MATCH($AG182,'Core Inputs Interface'!$17:$17,0)),"")</f>
        <v>5780</v>
      </c>
      <c r="AI182" s="55">
        <f t="shared" si="58"/>
        <v>0</v>
      </c>
      <c r="AJ182" s="55">
        <f t="shared" si="54"/>
        <v>0.52451068102476561</v>
      </c>
      <c r="AK182" s="55">
        <f t="shared" si="55"/>
        <v>0.8</v>
      </c>
      <c r="AL182" s="55">
        <f t="shared" ca="1" si="59"/>
        <v>0.25</v>
      </c>
      <c r="AM182" s="65">
        <f t="shared" ca="1" si="56"/>
        <v>0</v>
      </c>
      <c r="AN182" s="66">
        <f t="shared" ca="1" si="57"/>
        <v>0</v>
      </c>
      <c r="AO182" s="56">
        <f t="shared" ca="1" si="67"/>
        <v>0</v>
      </c>
      <c r="AP182" t="str">
        <f t="shared" si="62"/>
        <v>Non-Residential Building_46447</v>
      </c>
      <c r="AQ182" t="str">
        <f t="shared" si="63"/>
        <v>Vehicles_46447</v>
      </c>
    </row>
    <row r="183" spans="30:43" ht="15.6" thickTop="1" thickBot="1">
      <c r="AE183" s="59" t="str">
        <f>AE182</f>
        <v>Non-Residential Building</v>
      </c>
      <c r="AF183" s="59" t="str">
        <f t="shared" ref="AF183:AF184" si="69">AF161</f>
        <v>Machinery &amp; Equipment</v>
      </c>
      <c r="AG183" s="60">
        <f>AG182</f>
        <v>46447</v>
      </c>
      <c r="AH183" s="79">
        <f ca="1">IFERROR(INDEX('Core Inputs Interface'!$1:$1048576,MATCH($AE183,'Core Inputs Interface'!$H:$H,0),MATCH($AG183,'Core Inputs Interface'!$17:$17,0)),"")</f>
        <v>5780</v>
      </c>
      <c r="AI183" s="55">
        <f t="shared" si="58"/>
        <v>0</v>
      </c>
      <c r="AJ183" s="55">
        <f t="shared" si="54"/>
        <v>0.39238740022595126</v>
      </c>
      <c r="AK183" s="55">
        <f t="shared" si="55"/>
        <v>0.8</v>
      </c>
      <c r="AL183" s="55">
        <f t="shared" ca="1" si="59"/>
        <v>0.25</v>
      </c>
      <c r="AM183" s="65">
        <f t="shared" ca="1" si="56"/>
        <v>0</v>
      </c>
      <c r="AN183" s="66">
        <f t="shared" ca="1" si="57"/>
        <v>0</v>
      </c>
      <c r="AO183" s="56">
        <f ca="1">IFERROR(AM183/AN183,0)</f>
        <v>0</v>
      </c>
      <c r="AP183" t="str">
        <f>_xlfn.TEXTJOIN("_",,$AE183,$AG183)</f>
        <v>Non-Residential Building_46447</v>
      </c>
      <c r="AQ183" t="str">
        <f>_xlfn.TEXTJOIN("_",,$AF183,$AG183)</f>
        <v>Machinery &amp; Equipment_46447</v>
      </c>
    </row>
    <row r="184" spans="30:43" ht="15.6" thickTop="1" thickBot="1">
      <c r="AE184" s="59" t="str">
        <f>AE183</f>
        <v>Non-Residential Building</v>
      </c>
      <c r="AF184" s="59" t="str">
        <f t="shared" si="69"/>
        <v>Office Equipment &amp; IT</v>
      </c>
      <c r="AG184" s="60">
        <f>AG183</f>
        <v>46447</v>
      </c>
      <c r="AH184" s="79">
        <f ca="1">IFERROR(INDEX('Core Inputs Interface'!$1:$1048576,MATCH($AE184,'Core Inputs Interface'!$H:$H,0),MATCH($AG184,'Core Inputs Interface'!$17:$17,0)),"")</f>
        <v>5780</v>
      </c>
      <c r="AI184" s="55">
        <f t="shared" si="58"/>
        <v>0</v>
      </c>
      <c r="AJ184" s="55">
        <f t="shared" si="54"/>
        <v>0.15</v>
      </c>
      <c r="AK184" s="55">
        <f t="shared" si="55"/>
        <v>0.8</v>
      </c>
      <c r="AL184" s="55">
        <f t="shared" ca="1" si="59"/>
        <v>0.25</v>
      </c>
      <c r="AM184" s="65">
        <f t="shared" ca="1" si="56"/>
        <v>0</v>
      </c>
      <c r="AN184" s="66">
        <f t="shared" ca="1" si="57"/>
        <v>0</v>
      </c>
      <c r="AO184" s="56">
        <f ca="1">IFERROR(AM184/AN184,0)</f>
        <v>0</v>
      </c>
      <c r="AP184" t="str">
        <f>_xlfn.TEXTJOIN("_",,$AE184,$AG184)</f>
        <v>Non-Residential Building_46447</v>
      </c>
      <c r="AQ184" t="str">
        <f>_xlfn.TEXTJOIN("_",,$AF184,$AG184)</f>
        <v>Office Equipment &amp; IT_46447</v>
      </c>
    </row>
    <row r="185" spans="30:43" ht="15.6" thickTop="1" thickBot="1">
      <c r="AD185">
        <f>AD141+1</f>
        <v>5</v>
      </c>
      <c r="AE185" s="57" t="str" cm="1">
        <f t="array" ref="AE185">INDEX($F$8:$Q$8,$AD185)</f>
        <v>Roads</v>
      </c>
      <c r="AF185" s="58" t="s">
        <v>66</v>
      </c>
      <c r="AG185" s="62">
        <v>46082</v>
      </c>
      <c r="AH185" s="79">
        <f ca="1">IFERROR(INDEX('Core Inputs Interface'!$1:$1048576,MATCH($AE185,'Core Inputs Interface'!$H:$H,0),MATCH($AG185,'Core Inputs Interface'!$17:$17,0)),"")</f>
        <v>9657</v>
      </c>
      <c r="AI185" s="55">
        <f t="shared" si="58"/>
        <v>0.375</v>
      </c>
      <c r="AJ185" s="55" t="str">
        <f t="shared" si="54"/>
        <v>N/A</v>
      </c>
      <c r="AK185" s="55" t="str">
        <f t="shared" si="55"/>
        <v>N/A</v>
      </c>
      <c r="AL185" s="55" t="str">
        <f t="shared" ca="1" si="59"/>
        <v>N/A</v>
      </c>
      <c r="AM185" s="65">
        <f t="shared" ca="1" si="56"/>
        <v>0</v>
      </c>
      <c r="AN185" s="66">
        <f t="shared" ca="1" si="57"/>
        <v>3621.375</v>
      </c>
      <c r="AO185" s="56">
        <f ca="1">IFERROR(AM185/AN185,0)</f>
        <v>0</v>
      </c>
      <c r="AP185" t="str">
        <f>_xlfn.TEXTJOIN("_",,$AE185,$AG185)</f>
        <v>Roads_46082</v>
      </c>
      <c r="AQ185" t="str">
        <f>_xlfn.TEXTJOIN("_",,$AF185,$AG185)</f>
        <v>Labour_46082</v>
      </c>
    </row>
    <row r="186" spans="30:43" ht="15.6" thickTop="1" thickBot="1">
      <c r="AE186" s="59" t="str">
        <f>AE185</f>
        <v>Roads</v>
      </c>
      <c r="AF186" s="58" t="s">
        <v>67</v>
      </c>
      <c r="AG186" s="60">
        <f>AG185</f>
        <v>46082</v>
      </c>
      <c r="AH186" s="79">
        <f ca="1">IFERROR(INDEX('Core Inputs Interface'!$1:$1048576,MATCH($AE186,'Core Inputs Interface'!$H:$H,0),MATCH($AG186,'Core Inputs Interface'!$17:$17,0)),"")</f>
        <v>9657</v>
      </c>
      <c r="AI186" s="55">
        <f t="shared" si="58"/>
        <v>0.2</v>
      </c>
      <c r="AJ186" s="55" t="str">
        <f t="shared" si="54"/>
        <v>N/A</v>
      </c>
      <c r="AK186" s="55" t="str">
        <f t="shared" si="55"/>
        <v>N/A</v>
      </c>
      <c r="AL186" s="55" t="str">
        <f t="shared" ca="1" si="59"/>
        <v>N/A</v>
      </c>
      <c r="AM186" s="65">
        <f t="shared" ca="1" si="56"/>
        <v>0</v>
      </c>
      <c r="AN186" s="66">
        <f t="shared" ca="1" si="57"/>
        <v>1931.4</v>
      </c>
      <c r="AO186" s="56">
        <f t="shared" ref="AO186:AO204" ca="1" si="70">IFERROR(AM186/AN186,0)</f>
        <v>0</v>
      </c>
      <c r="AP186" t="str">
        <f t="shared" ref="AP186:AP226" si="71">_xlfn.TEXTJOIN("_",,$AE186,$AG186)</f>
        <v>Roads_46082</v>
      </c>
      <c r="AQ186" t="str">
        <f t="shared" ref="AQ186:AQ226" si="72">_xlfn.TEXTJOIN("_",,$AF186,$AG186)</f>
        <v>Engineering design_46082</v>
      </c>
    </row>
    <row r="187" spans="30:43" ht="15.6" thickTop="1" thickBot="1">
      <c r="AE187" s="59" t="str">
        <f t="shared" ref="AE187:AE226" si="73">AE186</f>
        <v>Roads</v>
      </c>
      <c r="AF187" s="58" t="s">
        <v>26</v>
      </c>
      <c r="AG187" s="60">
        <f t="shared" ref="AG187:AG204" si="74">AG186</f>
        <v>46082</v>
      </c>
      <c r="AH187" s="79">
        <f ca="1">IFERROR(INDEX('Core Inputs Interface'!$1:$1048576,MATCH($AE187,'Core Inputs Interface'!$H:$H,0),MATCH($AG187,'Core Inputs Interface'!$17:$17,0)),"")</f>
        <v>9657</v>
      </c>
      <c r="AI187" s="55">
        <f t="shared" si="58"/>
        <v>2.5000000000000001E-2</v>
      </c>
      <c r="AJ187" s="55">
        <f t="shared" si="54"/>
        <v>8.4066217963502693E-2</v>
      </c>
      <c r="AK187" s="55">
        <f t="shared" si="55"/>
        <v>0.6</v>
      </c>
      <c r="AL187" s="55">
        <f t="shared" ca="1" si="59"/>
        <v>0.25</v>
      </c>
      <c r="AM187" s="65">
        <f t="shared" ca="1" si="56"/>
        <v>3.0443530007757955</v>
      </c>
      <c r="AN187" s="66">
        <f t="shared" ca="1" si="57"/>
        <v>241.42500000000001</v>
      </c>
      <c r="AO187" s="56">
        <f t="shared" ca="1" si="70"/>
        <v>1.2609932694525403E-2</v>
      </c>
      <c r="AP187" t="str">
        <f t="shared" si="71"/>
        <v>Roads_46082</v>
      </c>
      <c r="AQ187" t="str">
        <f t="shared" si="72"/>
        <v>Reinforcing bar_46082</v>
      </c>
    </row>
    <row r="188" spans="30:43" ht="15.6" thickTop="1" thickBot="1">
      <c r="AE188" s="59" t="str">
        <f t="shared" si="73"/>
        <v>Roads</v>
      </c>
      <c r="AF188" s="58" t="s">
        <v>27</v>
      </c>
      <c r="AG188" s="60">
        <f t="shared" si="74"/>
        <v>46082</v>
      </c>
      <c r="AH188" s="79">
        <f ca="1">IFERROR(INDEX('Core Inputs Interface'!$1:$1048576,MATCH($AE188,'Core Inputs Interface'!$H:$H,0),MATCH($AG188,'Core Inputs Interface'!$17:$17,0)),"")</f>
        <v>9657</v>
      </c>
      <c r="AI188" s="55">
        <f t="shared" si="58"/>
        <v>0</v>
      </c>
      <c r="AJ188" s="55">
        <f t="shared" si="54"/>
        <v>0.52500514810102583</v>
      </c>
      <c r="AK188" s="55">
        <f t="shared" si="55"/>
        <v>0.6</v>
      </c>
      <c r="AL188" s="55">
        <f t="shared" ca="1" si="59"/>
        <v>0.25</v>
      </c>
      <c r="AM188" s="65">
        <f t="shared" ca="1" si="56"/>
        <v>0</v>
      </c>
      <c r="AN188" s="66">
        <f t="shared" ca="1" si="57"/>
        <v>0</v>
      </c>
      <c r="AO188" s="56">
        <f t="shared" ca="1" si="70"/>
        <v>0</v>
      </c>
      <c r="AP188" t="str">
        <f t="shared" si="71"/>
        <v>Roads_46082</v>
      </c>
      <c r="AQ188" t="str">
        <f t="shared" si="72"/>
        <v>Structural steel_46082</v>
      </c>
    </row>
    <row r="189" spans="30:43" ht="15.6" thickTop="1" thickBot="1">
      <c r="AE189" s="59" t="str">
        <f t="shared" si="73"/>
        <v>Roads</v>
      </c>
      <c r="AF189" s="58" t="s">
        <v>28</v>
      </c>
      <c r="AG189" s="60">
        <f t="shared" si="74"/>
        <v>46082</v>
      </c>
      <c r="AH189" s="79">
        <f ca="1">IFERROR(INDEX('Core Inputs Interface'!$1:$1048576,MATCH($AE189,'Core Inputs Interface'!$H:$H,0),MATCH($AG189,'Core Inputs Interface'!$17:$17,0)),"")</f>
        <v>9657</v>
      </c>
      <c r="AI189" s="55">
        <f t="shared" si="58"/>
        <v>0.04</v>
      </c>
      <c r="AJ189" s="55">
        <f t="shared" si="54"/>
        <v>9.1004090556242881E-2</v>
      </c>
      <c r="AK189" s="55">
        <f t="shared" si="55"/>
        <v>0.6</v>
      </c>
      <c r="AL189" s="55">
        <f t="shared" ca="1" si="59"/>
        <v>0.25</v>
      </c>
      <c r="AM189" s="65">
        <f t="shared" ca="1" si="56"/>
        <v>5.2729590150098256</v>
      </c>
      <c r="AN189" s="66">
        <f t="shared" ca="1" si="57"/>
        <v>386.28000000000003</v>
      </c>
      <c r="AO189" s="56">
        <f t="shared" ca="1" si="70"/>
        <v>1.3650613583436432E-2</v>
      </c>
      <c r="AP189" t="str">
        <f t="shared" si="71"/>
        <v>Roads_46082</v>
      </c>
      <c r="AQ189" t="str">
        <f t="shared" si="72"/>
        <v>Quarry Material_46082</v>
      </c>
    </row>
    <row r="190" spans="30:43" ht="15.6" thickTop="1" thickBot="1">
      <c r="AE190" s="59" t="str">
        <f t="shared" si="73"/>
        <v>Roads</v>
      </c>
      <c r="AF190" s="58" t="s">
        <v>30</v>
      </c>
      <c r="AG190" s="60">
        <f t="shared" si="74"/>
        <v>46082</v>
      </c>
      <c r="AH190" s="79">
        <f ca="1">IFERROR(INDEX('Core Inputs Interface'!$1:$1048576,MATCH($AE190,'Core Inputs Interface'!$H:$H,0),MATCH($AG190,'Core Inputs Interface'!$17:$17,0)),"")</f>
        <v>9657</v>
      </c>
      <c r="AI190" s="55">
        <f t="shared" si="58"/>
        <v>0.05</v>
      </c>
      <c r="AJ190" s="55">
        <f t="shared" si="54"/>
        <v>1.1472584695084088E-2</v>
      </c>
      <c r="AK190" s="55">
        <f t="shared" si="55"/>
        <v>0.6</v>
      </c>
      <c r="AL190" s="55">
        <f t="shared" ca="1" si="59"/>
        <v>0.25</v>
      </c>
      <c r="AM190" s="65">
        <f t="shared" ca="1" si="56"/>
        <v>0.83093062800320283</v>
      </c>
      <c r="AN190" s="66">
        <f t="shared" ca="1" si="57"/>
        <v>482.85</v>
      </c>
      <c r="AO190" s="56">
        <f t="shared" ca="1" si="70"/>
        <v>1.7208877042626132E-3</v>
      </c>
      <c r="AP190" t="str">
        <f t="shared" si="71"/>
        <v>Roads_46082</v>
      </c>
      <c r="AQ190" t="str">
        <f t="shared" si="72"/>
        <v>Concrete_46082</v>
      </c>
    </row>
    <row r="191" spans="30:43" ht="15.6" thickTop="1" thickBot="1">
      <c r="AE191" s="59" t="str">
        <f t="shared" si="73"/>
        <v>Roads</v>
      </c>
      <c r="AF191" s="57" t="s">
        <v>32</v>
      </c>
      <c r="AG191" s="60">
        <f t="shared" si="74"/>
        <v>46082</v>
      </c>
      <c r="AH191" s="79">
        <f ca="1">IFERROR(INDEX('Core Inputs Interface'!$1:$1048576,MATCH($AE191,'Core Inputs Interface'!$H:$H,0),MATCH($AG191,'Core Inputs Interface'!$17:$17,0)),"")</f>
        <v>9657</v>
      </c>
      <c r="AI191" s="55">
        <f t="shared" si="58"/>
        <v>0</v>
      </c>
      <c r="AJ191" s="55">
        <f t="shared" si="54"/>
        <v>9.8410961434768088E-2</v>
      </c>
      <c r="AK191" s="55">
        <f t="shared" si="55"/>
        <v>0.6</v>
      </c>
      <c r="AL191" s="55">
        <f t="shared" ca="1" si="59"/>
        <v>0.25</v>
      </c>
      <c r="AM191" s="65">
        <f t="shared" ca="1" si="56"/>
        <v>0</v>
      </c>
      <c r="AN191" s="66">
        <f t="shared" ca="1" si="57"/>
        <v>0</v>
      </c>
      <c r="AO191" s="56">
        <f t="shared" ca="1" si="70"/>
        <v>0</v>
      </c>
      <c r="AP191" t="str">
        <f t="shared" si="71"/>
        <v>Roads_46082</v>
      </c>
      <c r="AQ191" t="str">
        <f t="shared" si="72"/>
        <v>Masonry_46082</v>
      </c>
    </row>
    <row r="192" spans="30:43" ht="15.6" thickTop="1" thickBot="1">
      <c r="AE192" s="59" t="str">
        <f t="shared" si="73"/>
        <v>Roads</v>
      </c>
      <c r="AF192" s="57" t="s">
        <v>34</v>
      </c>
      <c r="AG192" s="60">
        <f t="shared" si="74"/>
        <v>46082</v>
      </c>
      <c r="AH192" s="79">
        <f ca="1">IFERROR(INDEX('Core Inputs Interface'!$1:$1048576,MATCH($AE192,'Core Inputs Interface'!$H:$H,0),MATCH($AG192,'Core Inputs Interface'!$17:$17,0)),"")</f>
        <v>9657</v>
      </c>
      <c r="AI192" s="55">
        <f t="shared" si="58"/>
        <v>0</v>
      </c>
      <c r="AJ192" s="55">
        <f t="shared" si="54"/>
        <v>0.13840817436677436</v>
      </c>
      <c r="AK192" s="55">
        <f t="shared" si="55"/>
        <v>0.6</v>
      </c>
      <c r="AL192" s="55">
        <f t="shared" ca="1" si="59"/>
        <v>0.25</v>
      </c>
      <c r="AM192" s="65">
        <f t="shared" ca="1" si="56"/>
        <v>0</v>
      </c>
      <c r="AN192" s="66">
        <f t="shared" ca="1" si="57"/>
        <v>0</v>
      </c>
      <c r="AO192" s="56">
        <f t="shared" ca="1" si="70"/>
        <v>0</v>
      </c>
      <c r="AP192" t="str">
        <f t="shared" si="71"/>
        <v>Roads_46082</v>
      </c>
      <c r="AQ192" t="str">
        <f t="shared" si="72"/>
        <v>Wood_46082</v>
      </c>
    </row>
    <row r="193" spans="31:43" ht="15.6" thickTop="1" thickBot="1">
      <c r="AE193" s="59" t="str">
        <f t="shared" si="73"/>
        <v>Roads</v>
      </c>
      <c r="AF193" s="57" t="s">
        <v>36</v>
      </c>
      <c r="AG193" s="60">
        <f t="shared" si="74"/>
        <v>46082</v>
      </c>
      <c r="AH193" s="79">
        <f ca="1">IFERROR(INDEX('Core Inputs Interface'!$1:$1048576,MATCH($AE193,'Core Inputs Interface'!$H:$H,0),MATCH($AG193,'Core Inputs Interface'!$17:$17,0)),"")</f>
        <v>9657</v>
      </c>
      <c r="AI193" s="55">
        <f t="shared" si="58"/>
        <v>0.02</v>
      </c>
      <c r="AJ193" s="55">
        <f t="shared" si="54"/>
        <v>0.80654510583379313</v>
      </c>
      <c r="AK193" s="55">
        <f t="shared" si="55"/>
        <v>0.6</v>
      </c>
      <c r="AL193" s="55">
        <f t="shared" ca="1" si="59"/>
        <v>0.25</v>
      </c>
      <c r="AM193" s="65">
        <f t="shared" ca="1" si="56"/>
        <v>23.366418261110823</v>
      </c>
      <c r="AN193" s="66">
        <f t="shared" ca="1" si="57"/>
        <v>193.14000000000001</v>
      </c>
      <c r="AO193" s="56">
        <f t="shared" ca="1" si="70"/>
        <v>0.12098176587506897</v>
      </c>
      <c r="AP193" t="str">
        <f t="shared" si="71"/>
        <v>Roads_46082</v>
      </c>
      <c r="AQ193" t="str">
        <f t="shared" si="72"/>
        <v>Electrical wire_46082</v>
      </c>
    </row>
    <row r="194" spans="31:43" ht="15.6" thickTop="1" thickBot="1">
      <c r="AE194" s="59" t="str">
        <f t="shared" si="73"/>
        <v>Roads</v>
      </c>
      <c r="AF194" s="57" t="s">
        <v>38</v>
      </c>
      <c r="AG194" s="60">
        <f t="shared" si="74"/>
        <v>46082</v>
      </c>
      <c r="AH194" s="79">
        <f ca="1">IFERROR(INDEX('Core Inputs Interface'!$1:$1048576,MATCH($AE194,'Core Inputs Interface'!$H:$H,0),MATCH($AG194,'Core Inputs Interface'!$17:$17,0)),"")</f>
        <v>9657</v>
      </c>
      <c r="AI194" s="55">
        <f t="shared" si="58"/>
        <v>0</v>
      </c>
      <c r="AJ194" s="55">
        <f t="shared" si="54"/>
        <v>0.24210307145623419</v>
      </c>
      <c r="AK194" s="55">
        <f t="shared" si="55"/>
        <v>0.6</v>
      </c>
      <c r="AL194" s="55">
        <f t="shared" ca="1" si="59"/>
        <v>0.25</v>
      </c>
      <c r="AM194" s="65">
        <f t="shared" ca="1" si="56"/>
        <v>0</v>
      </c>
      <c r="AN194" s="66">
        <f t="shared" ca="1" si="57"/>
        <v>0</v>
      </c>
      <c r="AO194" s="56">
        <f t="shared" ca="1" si="70"/>
        <v>0</v>
      </c>
      <c r="AP194" t="str">
        <f t="shared" si="71"/>
        <v>Roads_46082</v>
      </c>
      <c r="AQ194" t="str">
        <f t="shared" si="72"/>
        <v>Glass_46082</v>
      </c>
    </row>
    <row r="195" spans="31:43" ht="15.6" thickTop="1" thickBot="1">
      <c r="AE195" s="59" t="str">
        <f t="shared" si="73"/>
        <v>Roads</v>
      </c>
      <c r="AF195" s="57" t="s">
        <v>40</v>
      </c>
      <c r="AG195" s="60">
        <f t="shared" si="74"/>
        <v>46082</v>
      </c>
      <c r="AH195" s="79">
        <f ca="1">IFERROR(INDEX('Core Inputs Interface'!$1:$1048576,MATCH($AE195,'Core Inputs Interface'!$H:$H,0),MATCH($AG195,'Core Inputs Interface'!$17:$17,0)),"")</f>
        <v>9657</v>
      </c>
      <c r="AI195" s="55">
        <f t="shared" si="58"/>
        <v>0</v>
      </c>
      <c r="AJ195" s="55">
        <f t="shared" si="54"/>
        <v>2.4772729573316262E-4</v>
      </c>
      <c r="AK195" s="55">
        <f t="shared" si="55"/>
        <v>0.6</v>
      </c>
      <c r="AL195" s="55">
        <f t="shared" ca="1" si="59"/>
        <v>0.25</v>
      </c>
      <c r="AM195" s="65">
        <f t="shared" ca="1" si="56"/>
        <v>0</v>
      </c>
      <c r="AN195" s="66">
        <f t="shared" ca="1" si="57"/>
        <v>0</v>
      </c>
      <c r="AO195" s="56">
        <f t="shared" ca="1" si="70"/>
        <v>0</v>
      </c>
      <c r="AP195" t="str">
        <f t="shared" si="71"/>
        <v>Roads_46082</v>
      </c>
      <c r="AQ195" t="str">
        <f t="shared" si="72"/>
        <v>Roofing_46082</v>
      </c>
    </row>
    <row r="196" spans="31:43" ht="15.6" thickTop="1" thickBot="1">
      <c r="AE196" s="59" t="str">
        <f t="shared" si="73"/>
        <v>Roads</v>
      </c>
      <c r="AF196" s="57" t="s">
        <v>42</v>
      </c>
      <c r="AG196" s="60">
        <f t="shared" si="74"/>
        <v>46082</v>
      </c>
      <c r="AH196" s="79">
        <f ca="1">IFERROR(INDEX('Core Inputs Interface'!$1:$1048576,MATCH($AE196,'Core Inputs Interface'!$H:$H,0),MATCH($AG196,'Core Inputs Interface'!$17:$17,0)),"")</f>
        <v>9657</v>
      </c>
      <c r="AI196" s="55">
        <f t="shared" si="58"/>
        <v>0</v>
      </c>
      <c r="AJ196" s="55">
        <f t="shared" si="54"/>
        <v>0.54050345117059384</v>
      </c>
      <c r="AK196" s="55">
        <f t="shared" si="55"/>
        <v>0.6</v>
      </c>
      <c r="AL196" s="55">
        <f t="shared" ca="1" si="59"/>
        <v>0.25</v>
      </c>
      <c r="AM196" s="65">
        <f t="shared" ca="1" si="56"/>
        <v>0</v>
      </c>
      <c r="AN196" s="66">
        <f t="shared" ca="1" si="57"/>
        <v>0</v>
      </c>
      <c r="AO196" s="56">
        <f t="shared" ca="1" si="70"/>
        <v>0</v>
      </c>
      <c r="AP196" t="str">
        <f t="shared" si="71"/>
        <v>Roads_46082</v>
      </c>
      <c r="AQ196" t="str">
        <f t="shared" si="72"/>
        <v>Interior_46082</v>
      </c>
    </row>
    <row r="197" spans="31:43" ht="15.6" thickTop="1" thickBot="1">
      <c r="AE197" s="59" t="str">
        <f t="shared" si="73"/>
        <v>Roads</v>
      </c>
      <c r="AF197" s="57" t="s">
        <v>44</v>
      </c>
      <c r="AG197" s="60">
        <f t="shared" si="74"/>
        <v>46082</v>
      </c>
      <c r="AH197" s="79">
        <f ca="1">IFERROR(INDEX('Core Inputs Interface'!$1:$1048576,MATCH($AE197,'Core Inputs Interface'!$H:$H,0),MATCH($AG197,'Core Inputs Interface'!$17:$17,0)),"")</f>
        <v>9657</v>
      </c>
      <c r="AI197" s="55">
        <f t="shared" si="58"/>
        <v>0.13500000000000001</v>
      </c>
      <c r="AJ197" s="55">
        <f t="shared" si="54"/>
        <v>0.14985905317691026</v>
      </c>
      <c r="AK197" s="55">
        <f t="shared" si="55"/>
        <v>0.6</v>
      </c>
      <c r="AL197" s="55">
        <f t="shared" ca="1" si="59"/>
        <v>0.25</v>
      </c>
      <c r="AM197" s="65">
        <f t="shared" ca="1" si="56"/>
        <v>29.305574749720805</v>
      </c>
      <c r="AN197" s="66">
        <f t="shared" ca="1" si="57"/>
        <v>1303.6950000000002</v>
      </c>
      <c r="AO197" s="56">
        <f t="shared" ca="1" si="70"/>
        <v>2.2478857976536537E-2</v>
      </c>
      <c r="AP197" t="str">
        <f t="shared" si="71"/>
        <v>Roads_46082</v>
      </c>
      <c r="AQ197" t="str">
        <f t="shared" si="72"/>
        <v>Bitumen_46082</v>
      </c>
    </row>
    <row r="198" spans="31:43" ht="15.6" thickTop="1" thickBot="1">
      <c r="AE198" s="59" t="str">
        <f t="shared" si="73"/>
        <v>Roads</v>
      </c>
      <c r="AF198" s="57" t="s">
        <v>46</v>
      </c>
      <c r="AG198" s="60">
        <f t="shared" si="74"/>
        <v>46082</v>
      </c>
      <c r="AH198" s="79">
        <f ca="1">IFERROR(INDEX('Core Inputs Interface'!$1:$1048576,MATCH($AE198,'Core Inputs Interface'!$H:$H,0),MATCH($AG198,'Core Inputs Interface'!$17:$17,0)),"")</f>
        <v>9657</v>
      </c>
      <c r="AI198" s="55">
        <f t="shared" si="58"/>
        <v>0</v>
      </c>
      <c r="AJ198" s="55">
        <f t="shared" si="54"/>
        <v>0.12828361767948987</v>
      </c>
      <c r="AK198" s="55">
        <f t="shared" si="55"/>
        <v>0.6</v>
      </c>
      <c r="AL198" s="55">
        <f t="shared" ca="1" si="59"/>
        <v>0.25</v>
      </c>
      <c r="AM198" s="65">
        <f t="shared" ca="1" si="56"/>
        <v>0</v>
      </c>
      <c r="AN198" s="66">
        <f t="shared" ca="1" si="57"/>
        <v>0</v>
      </c>
      <c r="AO198" s="56">
        <f t="shared" ca="1" si="70"/>
        <v>0</v>
      </c>
      <c r="AP198" t="str">
        <f t="shared" si="71"/>
        <v>Roads_46082</v>
      </c>
      <c r="AQ198" t="str">
        <f t="shared" si="72"/>
        <v>Polyethylene pipes_46082</v>
      </c>
    </row>
    <row r="199" spans="31:43" ht="15.6" thickTop="1" thickBot="1">
      <c r="AE199" s="59" t="str">
        <f t="shared" si="73"/>
        <v>Roads</v>
      </c>
      <c r="AF199" s="57" t="s">
        <v>48</v>
      </c>
      <c r="AG199" s="60">
        <f t="shared" si="74"/>
        <v>46082</v>
      </c>
      <c r="AH199" s="79">
        <f ca="1">IFERROR(INDEX('Core Inputs Interface'!$1:$1048576,MATCH($AE199,'Core Inputs Interface'!$H:$H,0),MATCH($AG199,'Core Inputs Interface'!$17:$17,0)),"")</f>
        <v>9657</v>
      </c>
      <c r="AI199" s="55">
        <f t="shared" si="58"/>
        <v>7.4999999999999997E-2</v>
      </c>
      <c r="AJ199" s="55">
        <f t="shared" si="54"/>
        <v>0.31546495432215926</v>
      </c>
      <c r="AK199" s="55">
        <f t="shared" si="55"/>
        <v>0.8</v>
      </c>
      <c r="AL199" s="55">
        <f t="shared" ca="1" si="59"/>
        <v>0.25</v>
      </c>
      <c r="AM199" s="65">
        <f t="shared" ca="1" si="56"/>
        <v>45.696675958336385</v>
      </c>
      <c r="AN199" s="66">
        <f t="shared" ca="1" si="57"/>
        <v>724.27499999999998</v>
      </c>
      <c r="AO199" s="56">
        <f t="shared" ca="1" si="70"/>
        <v>6.3092990864431861E-2</v>
      </c>
      <c r="AP199" t="str">
        <f t="shared" si="71"/>
        <v>Roads_46082</v>
      </c>
      <c r="AQ199" t="str">
        <f t="shared" si="72"/>
        <v>Plant and equipment_46082</v>
      </c>
    </row>
    <row r="200" spans="31:43" ht="15.6" thickTop="1" thickBot="1">
      <c r="AE200" s="59" t="str">
        <f t="shared" si="73"/>
        <v>Roads</v>
      </c>
      <c r="AF200" s="57" t="s">
        <v>50</v>
      </c>
      <c r="AG200" s="60">
        <f t="shared" si="74"/>
        <v>46082</v>
      </c>
      <c r="AH200" s="79">
        <f ca="1">IFERROR(INDEX('Core Inputs Interface'!$1:$1048576,MATCH($AE200,'Core Inputs Interface'!$H:$H,0),MATCH($AG200,'Core Inputs Interface'!$17:$17,0)),"")</f>
        <v>9657</v>
      </c>
      <c r="AI200" s="55">
        <f t="shared" si="58"/>
        <v>0</v>
      </c>
      <c r="AJ200" s="55">
        <f t="shared" si="54"/>
        <v>0.48556692694591386</v>
      </c>
      <c r="AK200" s="55">
        <f t="shared" si="55"/>
        <v>0.8</v>
      </c>
      <c r="AL200" s="55">
        <f t="shared" ca="1" si="59"/>
        <v>0.25</v>
      </c>
      <c r="AM200" s="65">
        <f t="shared" ca="1" si="56"/>
        <v>0</v>
      </c>
      <c r="AN200" s="66">
        <f t="shared" ca="1" si="57"/>
        <v>0</v>
      </c>
      <c r="AO200" s="56">
        <f t="shared" ca="1" si="70"/>
        <v>0</v>
      </c>
      <c r="AP200" t="str">
        <f t="shared" si="71"/>
        <v>Roads_46082</v>
      </c>
      <c r="AQ200" t="str">
        <f t="shared" si="72"/>
        <v>Electrical equipment_46082</v>
      </c>
    </row>
    <row r="201" spans="31:43" ht="15.6" thickTop="1" thickBot="1">
      <c r="AE201" s="59" t="str">
        <f t="shared" si="73"/>
        <v>Roads</v>
      </c>
      <c r="AF201" s="57" t="s">
        <v>52</v>
      </c>
      <c r="AG201" s="60">
        <f t="shared" si="74"/>
        <v>46082</v>
      </c>
      <c r="AH201" s="79">
        <f ca="1">IFERROR(INDEX('Core Inputs Interface'!$1:$1048576,MATCH($AE201,'Core Inputs Interface'!$H:$H,0),MATCH($AG201,'Core Inputs Interface'!$17:$17,0)),"")</f>
        <v>9657</v>
      </c>
      <c r="AI201" s="55">
        <f t="shared" si="58"/>
        <v>0.02</v>
      </c>
      <c r="AJ201" s="55">
        <f t="shared" ref="AJ201:AJ264" si="75">IFERROR(INDEX($U:$U,MATCH($AF201,$T:$T,0)),0)</f>
        <v>0.23440288076987165</v>
      </c>
      <c r="AK201" s="55">
        <f t="shared" ref="AK201:AK264" si="76">IFERROR(INDEX($Y:$Y,MATCH($AF201,$X:$X,0)),0)</f>
        <v>0.8</v>
      </c>
      <c r="AL201" s="55">
        <f t="shared" ca="1" si="59"/>
        <v>0.25</v>
      </c>
      <c r="AM201" s="65">
        <f t="shared" ref="AM201:AM264" ca="1" si="77">IF(AL201="N/A",0,PRODUCT(AH201:AL201))</f>
        <v>9.0545144783786036</v>
      </c>
      <c r="AN201" s="66">
        <f t="shared" ref="AN201:AN264" ca="1" si="78">PRODUCT(AH201:AI201)</f>
        <v>193.14000000000001</v>
      </c>
      <c r="AO201" s="56">
        <f t="shared" ca="1" si="70"/>
        <v>4.6880576153974333E-2</v>
      </c>
      <c r="AP201" t="str">
        <f t="shared" si="71"/>
        <v>Roads_46082</v>
      </c>
      <c r="AQ201" t="str">
        <f t="shared" si="72"/>
        <v>Road equipment_46082</v>
      </c>
    </row>
    <row r="202" spans="31:43" ht="15.6" thickTop="1" thickBot="1">
      <c r="AE202" s="59" t="str">
        <f t="shared" si="73"/>
        <v>Roads</v>
      </c>
      <c r="AF202" s="57" t="s">
        <v>54</v>
      </c>
      <c r="AG202" s="60">
        <f t="shared" si="74"/>
        <v>46082</v>
      </c>
      <c r="AH202" s="79">
        <f ca="1">IFERROR(INDEX('Core Inputs Interface'!$1:$1048576,MATCH($AE202,'Core Inputs Interface'!$H:$H,0),MATCH($AG202,'Core Inputs Interface'!$17:$17,0)),"")</f>
        <v>9657</v>
      </c>
      <c r="AI202" s="55">
        <f t="shared" ref="AI202:AI265" si="79">IFERROR(INDEX($F$9:$Q$30,MATCH($AF202,$E$9:$E$30,0),MATCH($AE202,$F$8:$Q$8,0)),0)</f>
        <v>0</v>
      </c>
      <c r="AJ202" s="55">
        <f t="shared" si="75"/>
        <v>0.53411483886586031</v>
      </c>
      <c r="AK202" s="55">
        <f t="shared" si="76"/>
        <v>0.8</v>
      </c>
      <c r="AL202" s="55">
        <f t="shared" ref="AL202:AL265" ca="1" si="80">IFERROR(INDEX($Z$10:$AA$31,MATCH($AF202,$X$10:$X$31,0),MATCH($AG202,$Z$9:$AA$9,0)),0)</f>
        <v>0.25</v>
      </c>
      <c r="AM202" s="65">
        <f t="shared" ca="1" si="77"/>
        <v>0</v>
      </c>
      <c r="AN202" s="66">
        <f t="shared" ca="1" si="78"/>
        <v>0</v>
      </c>
      <c r="AO202" s="56">
        <f t="shared" ca="1" si="70"/>
        <v>0</v>
      </c>
      <c r="AP202" t="str">
        <f t="shared" si="71"/>
        <v>Roads_46082</v>
      </c>
      <c r="AQ202" t="str">
        <f t="shared" si="72"/>
        <v>Water equipment_46082</v>
      </c>
    </row>
    <row r="203" spans="31:43" ht="15.6" thickTop="1" thickBot="1">
      <c r="AE203" s="59" t="str">
        <f t="shared" si="73"/>
        <v>Roads</v>
      </c>
      <c r="AF203" s="57" t="s">
        <v>56</v>
      </c>
      <c r="AG203" s="60">
        <f t="shared" si="74"/>
        <v>46082</v>
      </c>
      <c r="AH203" s="79">
        <f ca="1">IFERROR(INDEX('Core Inputs Interface'!$1:$1048576,MATCH($AE203,'Core Inputs Interface'!$H:$H,0),MATCH($AG203,'Core Inputs Interface'!$17:$17,0)),"")</f>
        <v>9657</v>
      </c>
      <c r="AI203" s="55">
        <f t="shared" si="79"/>
        <v>0.06</v>
      </c>
      <c r="AJ203" s="55">
        <f t="shared" si="75"/>
        <v>0.45356302165418505</v>
      </c>
      <c r="AK203" s="55">
        <f t="shared" si="76"/>
        <v>0.6</v>
      </c>
      <c r="AL203" s="55">
        <f t="shared" ca="1" si="80"/>
        <v>0.1</v>
      </c>
      <c r="AM203" s="65">
        <f t="shared" ca="1" si="77"/>
        <v>15.768209160412074</v>
      </c>
      <c r="AN203" s="66">
        <f t="shared" ca="1" si="78"/>
        <v>579.41999999999996</v>
      </c>
      <c r="AO203" s="56">
        <f t="shared" ca="1" si="70"/>
        <v>2.7213781299251102E-2</v>
      </c>
      <c r="AP203" t="str">
        <f t="shared" si="71"/>
        <v>Roads_46082</v>
      </c>
      <c r="AQ203" t="str">
        <f t="shared" si="72"/>
        <v>Diesel_46082</v>
      </c>
    </row>
    <row r="204" spans="31:43" ht="15.6" thickTop="1" thickBot="1">
      <c r="AE204" s="59" t="str">
        <f t="shared" si="73"/>
        <v>Roads</v>
      </c>
      <c r="AF204" s="57" t="s">
        <v>49</v>
      </c>
      <c r="AG204" s="60">
        <f t="shared" si="74"/>
        <v>46082</v>
      </c>
      <c r="AH204" s="79">
        <f ca="1">IFERROR(INDEX('Core Inputs Interface'!$1:$1048576,MATCH($AE204,'Core Inputs Interface'!$H:$H,0),MATCH($AG204,'Core Inputs Interface'!$17:$17,0)),"")</f>
        <v>9657</v>
      </c>
      <c r="AI204" s="55">
        <f t="shared" si="79"/>
        <v>0</v>
      </c>
      <c r="AJ204" s="55">
        <f t="shared" si="75"/>
        <v>0.52451068102476561</v>
      </c>
      <c r="AK204" s="55">
        <f t="shared" si="76"/>
        <v>0.8</v>
      </c>
      <c r="AL204" s="55">
        <f t="shared" ca="1" si="80"/>
        <v>0.25</v>
      </c>
      <c r="AM204" s="65">
        <f t="shared" ca="1" si="77"/>
        <v>0</v>
      </c>
      <c r="AN204" s="66">
        <f t="shared" ca="1" si="78"/>
        <v>0</v>
      </c>
      <c r="AO204" s="56">
        <f t="shared" ca="1" si="70"/>
        <v>0</v>
      </c>
      <c r="AP204" t="str">
        <f t="shared" si="71"/>
        <v>Roads_46082</v>
      </c>
      <c r="AQ204" t="str">
        <f t="shared" si="72"/>
        <v>Vehicles_46082</v>
      </c>
    </row>
    <row r="205" spans="31:43" ht="15.6" thickTop="1" thickBot="1">
      <c r="AE205" s="59" t="str">
        <f>AE204</f>
        <v>Roads</v>
      </c>
      <c r="AF205" s="57" t="s">
        <v>51</v>
      </c>
      <c r="AG205" s="60">
        <f>AG204</f>
        <v>46082</v>
      </c>
      <c r="AH205" s="79">
        <f ca="1">IFERROR(INDEX('Core Inputs Interface'!$1:$1048576,MATCH($AE205,'Core Inputs Interface'!$H:$H,0),MATCH($AG205,'Core Inputs Interface'!$17:$17,0)),"")</f>
        <v>9657</v>
      </c>
      <c r="AI205" s="55">
        <f t="shared" si="79"/>
        <v>0</v>
      </c>
      <c r="AJ205" s="55">
        <f t="shared" si="75"/>
        <v>0.39238740022595126</v>
      </c>
      <c r="AK205" s="55">
        <f t="shared" si="76"/>
        <v>0.8</v>
      </c>
      <c r="AL205" s="55">
        <f t="shared" ca="1" si="80"/>
        <v>0.25</v>
      </c>
      <c r="AM205" s="65">
        <f t="shared" ca="1" si="77"/>
        <v>0</v>
      </c>
      <c r="AN205" s="66">
        <f t="shared" ca="1" si="78"/>
        <v>0</v>
      </c>
      <c r="AO205" s="56">
        <f ca="1">IFERROR(AM205/AN205,0)</f>
        <v>0</v>
      </c>
      <c r="AP205" t="str">
        <f>_xlfn.TEXTJOIN("_",,$AE205,$AG205)</f>
        <v>Roads_46082</v>
      </c>
      <c r="AQ205" t="str">
        <f>_xlfn.TEXTJOIN("_",,$AF205,$AG205)</f>
        <v>Machinery &amp; Equipment_46082</v>
      </c>
    </row>
    <row r="206" spans="31:43" ht="15.6" thickTop="1" thickBot="1">
      <c r="AE206" s="59" t="str">
        <f>AE205</f>
        <v>Roads</v>
      </c>
      <c r="AF206" s="57" t="s">
        <v>53</v>
      </c>
      <c r="AG206" s="60">
        <f>AG205</f>
        <v>46082</v>
      </c>
      <c r="AH206" s="79">
        <f ca="1">IFERROR(INDEX('Core Inputs Interface'!$1:$1048576,MATCH($AE206,'Core Inputs Interface'!$H:$H,0),MATCH($AG206,'Core Inputs Interface'!$17:$17,0)),"")</f>
        <v>9657</v>
      </c>
      <c r="AI206" s="55">
        <f t="shared" si="79"/>
        <v>0</v>
      </c>
      <c r="AJ206" s="55">
        <f t="shared" si="75"/>
        <v>0.15</v>
      </c>
      <c r="AK206" s="55">
        <f t="shared" si="76"/>
        <v>0.8</v>
      </c>
      <c r="AL206" s="55">
        <f t="shared" ca="1" si="80"/>
        <v>0.25</v>
      </c>
      <c r="AM206" s="65">
        <f t="shared" ca="1" si="77"/>
        <v>0</v>
      </c>
      <c r="AN206" s="66">
        <f t="shared" ca="1" si="78"/>
        <v>0</v>
      </c>
      <c r="AO206" s="56">
        <f ca="1">IFERROR(AM206/AN206,0)</f>
        <v>0</v>
      </c>
      <c r="AP206" t="str">
        <f>_xlfn.TEXTJOIN("_",,$AE206,$AG206)</f>
        <v>Roads_46082</v>
      </c>
      <c r="AQ206" t="str">
        <f>_xlfn.TEXTJOIN("_",,$AF206,$AG206)</f>
        <v>Office Equipment &amp; IT_46082</v>
      </c>
    </row>
    <row r="207" spans="31:43" ht="15.6" thickTop="1" thickBot="1">
      <c r="AE207" s="59" t="str">
        <f>AE204</f>
        <v>Roads</v>
      </c>
      <c r="AF207" s="59" t="str">
        <f t="shared" ref="AF207:AF226" si="81">AF185</f>
        <v>Labour</v>
      </c>
      <c r="AG207" s="61">
        <f>EDATE(AG185,12)</f>
        <v>46447</v>
      </c>
      <c r="AH207" s="79">
        <f ca="1">IFERROR(INDEX('Core Inputs Interface'!$1:$1048576,MATCH($AE207,'Core Inputs Interface'!$H:$H,0),MATCH($AG207,'Core Inputs Interface'!$17:$17,0)),"")</f>
        <v>10149</v>
      </c>
      <c r="AI207" s="55">
        <f t="shared" si="79"/>
        <v>0.375</v>
      </c>
      <c r="AJ207" s="55" t="str">
        <f t="shared" si="75"/>
        <v>N/A</v>
      </c>
      <c r="AK207" s="55" t="str">
        <f t="shared" si="76"/>
        <v>N/A</v>
      </c>
      <c r="AL207" s="55" t="str">
        <f t="shared" ca="1" si="80"/>
        <v>N/A</v>
      </c>
      <c r="AM207" s="65">
        <f t="shared" ca="1" si="77"/>
        <v>0</v>
      </c>
      <c r="AN207" s="66">
        <f t="shared" ca="1" si="78"/>
        <v>3805.875</v>
      </c>
      <c r="AO207" s="56">
        <f t="shared" ref="AO207:AO226" ca="1" si="82">IFERROR(AM207/AN207,0)</f>
        <v>0</v>
      </c>
      <c r="AP207" t="str">
        <f t="shared" si="71"/>
        <v>Roads_46447</v>
      </c>
      <c r="AQ207" t="str">
        <f t="shared" si="72"/>
        <v>Labour_46447</v>
      </c>
    </row>
    <row r="208" spans="31:43" ht="15.6" thickTop="1" thickBot="1">
      <c r="AE208" s="59" t="str">
        <f t="shared" si="73"/>
        <v>Roads</v>
      </c>
      <c r="AF208" s="59" t="str">
        <f t="shared" si="81"/>
        <v>Engineering design</v>
      </c>
      <c r="AG208" s="60">
        <f>AG207</f>
        <v>46447</v>
      </c>
      <c r="AH208" s="79">
        <f ca="1">IFERROR(INDEX('Core Inputs Interface'!$1:$1048576,MATCH($AE208,'Core Inputs Interface'!$H:$H,0),MATCH($AG208,'Core Inputs Interface'!$17:$17,0)),"")</f>
        <v>10149</v>
      </c>
      <c r="AI208" s="55">
        <f t="shared" si="79"/>
        <v>0.2</v>
      </c>
      <c r="AJ208" s="55" t="str">
        <f t="shared" si="75"/>
        <v>N/A</v>
      </c>
      <c r="AK208" s="55" t="str">
        <f t="shared" si="76"/>
        <v>N/A</v>
      </c>
      <c r="AL208" s="55" t="str">
        <f t="shared" ca="1" si="80"/>
        <v>N/A</v>
      </c>
      <c r="AM208" s="65">
        <f t="shared" ca="1" si="77"/>
        <v>0</v>
      </c>
      <c r="AN208" s="66">
        <f t="shared" ca="1" si="78"/>
        <v>2029.8000000000002</v>
      </c>
      <c r="AO208" s="56">
        <f t="shared" ca="1" si="82"/>
        <v>0</v>
      </c>
      <c r="AP208" t="str">
        <f t="shared" si="71"/>
        <v>Roads_46447</v>
      </c>
      <c r="AQ208" t="str">
        <f t="shared" si="72"/>
        <v>Engineering design_46447</v>
      </c>
    </row>
    <row r="209" spans="31:43" ht="15.6" thickTop="1" thickBot="1">
      <c r="AE209" s="59" t="str">
        <f t="shared" si="73"/>
        <v>Roads</v>
      </c>
      <c r="AF209" s="59" t="str">
        <f t="shared" si="81"/>
        <v>Reinforcing bar</v>
      </c>
      <c r="AG209" s="60">
        <f t="shared" ref="AG209:AG226" si="83">AG208</f>
        <v>46447</v>
      </c>
      <c r="AH209" s="79">
        <f ca="1">IFERROR(INDEX('Core Inputs Interface'!$1:$1048576,MATCH($AE209,'Core Inputs Interface'!$H:$H,0),MATCH($AG209,'Core Inputs Interface'!$17:$17,0)),"")</f>
        <v>10149</v>
      </c>
      <c r="AI209" s="55">
        <f t="shared" si="79"/>
        <v>2.5000000000000001E-2</v>
      </c>
      <c r="AJ209" s="55">
        <f t="shared" si="75"/>
        <v>8.4066217963502693E-2</v>
      </c>
      <c r="AK209" s="55">
        <f t="shared" si="76"/>
        <v>0.6</v>
      </c>
      <c r="AL209" s="55">
        <f t="shared" ca="1" si="80"/>
        <v>0.25</v>
      </c>
      <c r="AM209" s="65">
        <f t="shared" ca="1" si="77"/>
        <v>3.1994551729184586</v>
      </c>
      <c r="AN209" s="66">
        <f t="shared" ca="1" si="78"/>
        <v>253.72500000000002</v>
      </c>
      <c r="AO209" s="56">
        <f t="shared" ca="1" si="82"/>
        <v>1.2609932694525405E-2</v>
      </c>
      <c r="AP209" t="str">
        <f t="shared" si="71"/>
        <v>Roads_46447</v>
      </c>
      <c r="AQ209" t="str">
        <f t="shared" si="72"/>
        <v>Reinforcing bar_46447</v>
      </c>
    </row>
    <row r="210" spans="31:43" ht="15.6" thickTop="1" thickBot="1">
      <c r="AE210" s="59" t="str">
        <f t="shared" si="73"/>
        <v>Roads</v>
      </c>
      <c r="AF210" s="59" t="str">
        <f t="shared" si="81"/>
        <v>Structural steel</v>
      </c>
      <c r="AG210" s="60">
        <f t="shared" si="83"/>
        <v>46447</v>
      </c>
      <c r="AH210" s="79">
        <f ca="1">IFERROR(INDEX('Core Inputs Interface'!$1:$1048576,MATCH($AE210,'Core Inputs Interface'!$H:$H,0),MATCH($AG210,'Core Inputs Interface'!$17:$17,0)),"")</f>
        <v>10149</v>
      </c>
      <c r="AI210" s="55">
        <f t="shared" si="79"/>
        <v>0</v>
      </c>
      <c r="AJ210" s="55">
        <f t="shared" si="75"/>
        <v>0.52500514810102583</v>
      </c>
      <c r="AK210" s="55">
        <f t="shared" si="76"/>
        <v>0.6</v>
      </c>
      <c r="AL210" s="55">
        <f t="shared" ca="1" si="80"/>
        <v>0.25</v>
      </c>
      <c r="AM210" s="65">
        <f t="shared" ca="1" si="77"/>
        <v>0</v>
      </c>
      <c r="AN210" s="66">
        <f t="shared" ca="1" si="78"/>
        <v>0</v>
      </c>
      <c r="AO210" s="56">
        <f t="shared" ca="1" si="82"/>
        <v>0</v>
      </c>
      <c r="AP210" t="str">
        <f t="shared" si="71"/>
        <v>Roads_46447</v>
      </c>
      <c r="AQ210" t="str">
        <f t="shared" si="72"/>
        <v>Structural steel_46447</v>
      </c>
    </row>
    <row r="211" spans="31:43" ht="15.6" thickTop="1" thickBot="1">
      <c r="AE211" s="59" t="str">
        <f t="shared" si="73"/>
        <v>Roads</v>
      </c>
      <c r="AF211" s="59" t="str">
        <f t="shared" si="81"/>
        <v>Quarry Material</v>
      </c>
      <c r="AG211" s="60">
        <f t="shared" si="83"/>
        <v>46447</v>
      </c>
      <c r="AH211" s="79">
        <f ca="1">IFERROR(INDEX('Core Inputs Interface'!$1:$1048576,MATCH($AE211,'Core Inputs Interface'!$H:$H,0),MATCH($AG211,'Core Inputs Interface'!$17:$17,0)),"")</f>
        <v>10149</v>
      </c>
      <c r="AI211" s="55">
        <f t="shared" si="79"/>
        <v>0.04</v>
      </c>
      <c r="AJ211" s="55">
        <f t="shared" si="75"/>
        <v>9.1004090556242881E-2</v>
      </c>
      <c r="AK211" s="55">
        <f t="shared" si="76"/>
        <v>0.6</v>
      </c>
      <c r="AL211" s="55">
        <f t="shared" ca="1" si="80"/>
        <v>0.25</v>
      </c>
      <c r="AM211" s="65">
        <f t="shared" ca="1" si="77"/>
        <v>5.5416030903318543</v>
      </c>
      <c r="AN211" s="66">
        <f t="shared" ca="1" si="78"/>
        <v>405.96000000000004</v>
      </c>
      <c r="AO211" s="56">
        <f t="shared" ca="1" si="82"/>
        <v>1.3650613583436432E-2</v>
      </c>
      <c r="AP211" t="str">
        <f t="shared" si="71"/>
        <v>Roads_46447</v>
      </c>
      <c r="AQ211" t="str">
        <f t="shared" si="72"/>
        <v>Quarry Material_46447</v>
      </c>
    </row>
    <row r="212" spans="31:43" ht="15.6" thickTop="1" thickBot="1">
      <c r="AE212" s="59" t="str">
        <f t="shared" si="73"/>
        <v>Roads</v>
      </c>
      <c r="AF212" s="59" t="str">
        <f t="shared" si="81"/>
        <v>Concrete</v>
      </c>
      <c r="AG212" s="60">
        <f t="shared" si="83"/>
        <v>46447</v>
      </c>
      <c r="AH212" s="79">
        <f ca="1">IFERROR(INDEX('Core Inputs Interface'!$1:$1048576,MATCH($AE212,'Core Inputs Interface'!$H:$H,0),MATCH($AG212,'Core Inputs Interface'!$17:$17,0)),"")</f>
        <v>10149</v>
      </c>
      <c r="AI212" s="55">
        <f t="shared" si="79"/>
        <v>0.05</v>
      </c>
      <c r="AJ212" s="55">
        <f t="shared" si="75"/>
        <v>1.1472584695084088E-2</v>
      </c>
      <c r="AK212" s="55">
        <f t="shared" si="76"/>
        <v>0.6</v>
      </c>
      <c r="AL212" s="55">
        <f t="shared" ca="1" si="80"/>
        <v>0.25</v>
      </c>
      <c r="AM212" s="65">
        <f t="shared" ca="1" si="77"/>
        <v>0.87326446552806314</v>
      </c>
      <c r="AN212" s="66">
        <f t="shared" ca="1" si="78"/>
        <v>507.45000000000005</v>
      </c>
      <c r="AO212" s="56">
        <f t="shared" ca="1" si="82"/>
        <v>1.7208877042626132E-3</v>
      </c>
      <c r="AP212" t="str">
        <f t="shared" si="71"/>
        <v>Roads_46447</v>
      </c>
      <c r="AQ212" t="str">
        <f t="shared" si="72"/>
        <v>Concrete_46447</v>
      </c>
    </row>
    <row r="213" spans="31:43" ht="15.6" thickTop="1" thickBot="1">
      <c r="AE213" s="59" t="str">
        <f t="shared" si="73"/>
        <v>Roads</v>
      </c>
      <c r="AF213" s="59" t="str">
        <f t="shared" si="81"/>
        <v>Masonry</v>
      </c>
      <c r="AG213" s="60">
        <f t="shared" si="83"/>
        <v>46447</v>
      </c>
      <c r="AH213" s="79">
        <f ca="1">IFERROR(INDEX('Core Inputs Interface'!$1:$1048576,MATCH($AE213,'Core Inputs Interface'!$H:$H,0),MATCH($AG213,'Core Inputs Interface'!$17:$17,0)),"")</f>
        <v>10149</v>
      </c>
      <c r="AI213" s="55">
        <f t="shared" si="79"/>
        <v>0</v>
      </c>
      <c r="AJ213" s="55">
        <f t="shared" si="75"/>
        <v>9.8410961434768088E-2</v>
      </c>
      <c r="AK213" s="55">
        <f t="shared" si="76"/>
        <v>0.6</v>
      </c>
      <c r="AL213" s="55">
        <f t="shared" ca="1" si="80"/>
        <v>0.25</v>
      </c>
      <c r="AM213" s="65">
        <f t="shared" ca="1" si="77"/>
        <v>0</v>
      </c>
      <c r="AN213" s="66">
        <f t="shared" ca="1" si="78"/>
        <v>0</v>
      </c>
      <c r="AO213" s="56">
        <f t="shared" ca="1" si="82"/>
        <v>0</v>
      </c>
      <c r="AP213" t="str">
        <f t="shared" si="71"/>
        <v>Roads_46447</v>
      </c>
      <c r="AQ213" t="str">
        <f t="shared" si="72"/>
        <v>Masonry_46447</v>
      </c>
    </row>
    <row r="214" spans="31:43" ht="15.6" thickTop="1" thickBot="1">
      <c r="AE214" s="59" t="str">
        <f t="shared" si="73"/>
        <v>Roads</v>
      </c>
      <c r="AF214" s="59" t="str">
        <f t="shared" si="81"/>
        <v>Wood</v>
      </c>
      <c r="AG214" s="60">
        <f t="shared" si="83"/>
        <v>46447</v>
      </c>
      <c r="AH214" s="79">
        <f ca="1">IFERROR(INDEX('Core Inputs Interface'!$1:$1048576,MATCH($AE214,'Core Inputs Interface'!$H:$H,0),MATCH($AG214,'Core Inputs Interface'!$17:$17,0)),"")</f>
        <v>10149</v>
      </c>
      <c r="AI214" s="55">
        <f t="shared" si="79"/>
        <v>0</v>
      </c>
      <c r="AJ214" s="55">
        <f t="shared" si="75"/>
        <v>0.13840817436677436</v>
      </c>
      <c r="AK214" s="55">
        <f t="shared" si="76"/>
        <v>0.6</v>
      </c>
      <c r="AL214" s="55">
        <f t="shared" ca="1" si="80"/>
        <v>0.25</v>
      </c>
      <c r="AM214" s="65">
        <f t="shared" ca="1" si="77"/>
        <v>0</v>
      </c>
      <c r="AN214" s="66">
        <f t="shared" ca="1" si="78"/>
        <v>0</v>
      </c>
      <c r="AO214" s="56">
        <f t="shared" ca="1" si="82"/>
        <v>0</v>
      </c>
      <c r="AP214" t="str">
        <f t="shared" si="71"/>
        <v>Roads_46447</v>
      </c>
      <c r="AQ214" t="str">
        <f t="shared" si="72"/>
        <v>Wood_46447</v>
      </c>
    </row>
    <row r="215" spans="31:43" ht="15.6" thickTop="1" thickBot="1">
      <c r="AE215" s="59" t="str">
        <f t="shared" si="73"/>
        <v>Roads</v>
      </c>
      <c r="AF215" s="59" t="str">
        <f t="shared" si="81"/>
        <v>Electrical wire</v>
      </c>
      <c r="AG215" s="60">
        <f t="shared" si="83"/>
        <v>46447</v>
      </c>
      <c r="AH215" s="79">
        <f ca="1">IFERROR(INDEX('Core Inputs Interface'!$1:$1048576,MATCH($AE215,'Core Inputs Interface'!$H:$H,0),MATCH($AG215,'Core Inputs Interface'!$17:$17,0)),"")</f>
        <v>10149</v>
      </c>
      <c r="AI215" s="55">
        <f t="shared" si="79"/>
        <v>0.02</v>
      </c>
      <c r="AJ215" s="55">
        <f t="shared" si="75"/>
        <v>0.80654510583379313</v>
      </c>
      <c r="AK215" s="55">
        <f t="shared" si="76"/>
        <v>0.6</v>
      </c>
      <c r="AL215" s="55">
        <f t="shared" ca="1" si="80"/>
        <v>0.25</v>
      </c>
      <c r="AM215" s="65">
        <f t="shared" ca="1" si="77"/>
        <v>24.556878837321502</v>
      </c>
      <c r="AN215" s="66">
        <f t="shared" ca="1" si="78"/>
        <v>202.98000000000002</v>
      </c>
      <c r="AO215" s="56">
        <f t="shared" ca="1" si="82"/>
        <v>0.12098176587506897</v>
      </c>
      <c r="AP215" t="str">
        <f t="shared" si="71"/>
        <v>Roads_46447</v>
      </c>
      <c r="AQ215" t="str">
        <f t="shared" si="72"/>
        <v>Electrical wire_46447</v>
      </c>
    </row>
    <row r="216" spans="31:43" ht="15.6" thickTop="1" thickBot="1">
      <c r="AE216" s="59" t="str">
        <f t="shared" si="73"/>
        <v>Roads</v>
      </c>
      <c r="AF216" s="59" t="str">
        <f t="shared" si="81"/>
        <v>Glass</v>
      </c>
      <c r="AG216" s="60">
        <f t="shared" si="83"/>
        <v>46447</v>
      </c>
      <c r="AH216" s="79">
        <f ca="1">IFERROR(INDEX('Core Inputs Interface'!$1:$1048576,MATCH($AE216,'Core Inputs Interface'!$H:$H,0),MATCH($AG216,'Core Inputs Interface'!$17:$17,0)),"")</f>
        <v>10149</v>
      </c>
      <c r="AI216" s="55">
        <f t="shared" si="79"/>
        <v>0</v>
      </c>
      <c r="AJ216" s="55">
        <f t="shared" si="75"/>
        <v>0.24210307145623419</v>
      </c>
      <c r="AK216" s="55">
        <f t="shared" si="76"/>
        <v>0.6</v>
      </c>
      <c r="AL216" s="55">
        <f t="shared" ca="1" si="80"/>
        <v>0.25</v>
      </c>
      <c r="AM216" s="65">
        <f t="shared" ca="1" si="77"/>
        <v>0</v>
      </c>
      <c r="AN216" s="66">
        <f t="shared" ca="1" si="78"/>
        <v>0</v>
      </c>
      <c r="AO216" s="56">
        <f t="shared" ca="1" si="82"/>
        <v>0</v>
      </c>
      <c r="AP216" t="str">
        <f t="shared" si="71"/>
        <v>Roads_46447</v>
      </c>
      <c r="AQ216" t="str">
        <f t="shared" si="72"/>
        <v>Glass_46447</v>
      </c>
    </row>
    <row r="217" spans="31:43" ht="15.6" thickTop="1" thickBot="1">
      <c r="AE217" s="59" t="str">
        <f t="shared" si="73"/>
        <v>Roads</v>
      </c>
      <c r="AF217" s="59" t="str">
        <f t="shared" si="81"/>
        <v>Roofing</v>
      </c>
      <c r="AG217" s="60">
        <f t="shared" si="83"/>
        <v>46447</v>
      </c>
      <c r="AH217" s="79">
        <f ca="1">IFERROR(INDEX('Core Inputs Interface'!$1:$1048576,MATCH($AE217,'Core Inputs Interface'!$H:$H,0),MATCH($AG217,'Core Inputs Interface'!$17:$17,0)),"")</f>
        <v>10149</v>
      </c>
      <c r="AI217" s="55">
        <f t="shared" si="79"/>
        <v>0</v>
      </c>
      <c r="AJ217" s="55">
        <f t="shared" si="75"/>
        <v>2.4772729573316262E-4</v>
      </c>
      <c r="AK217" s="55">
        <f t="shared" si="76"/>
        <v>0.6</v>
      </c>
      <c r="AL217" s="55">
        <f t="shared" ca="1" si="80"/>
        <v>0.25</v>
      </c>
      <c r="AM217" s="65">
        <f t="shared" ca="1" si="77"/>
        <v>0</v>
      </c>
      <c r="AN217" s="66">
        <f t="shared" ca="1" si="78"/>
        <v>0</v>
      </c>
      <c r="AO217" s="56">
        <f t="shared" ca="1" si="82"/>
        <v>0</v>
      </c>
      <c r="AP217" t="str">
        <f t="shared" si="71"/>
        <v>Roads_46447</v>
      </c>
      <c r="AQ217" t="str">
        <f t="shared" si="72"/>
        <v>Roofing_46447</v>
      </c>
    </row>
    <row r="218" spans="31:43" ht="15.6" thickTop="1" thickBot="1">
      <c r="AE218" s="59" t="str">
        <f t="shared" si="73"/>
        <v>Roads</v>
      </c>
      <c r="AF218" s="59" t="str">
        <f t="shared" si="81"/>
        <v>Interior</v>
      </c>
      <c r="AG218" s="60">
        <f t="shared" si="83"/>
        <v>46447</v>
      </c>
      <c r="AH218" s="79">
        <f ca="1">IFERROR(INDEX('Core Inputs Interface'!$1:$1048576,MATCH($AE218,'Core Inputs Interface'!$H:$H,0),MATCH($AG218,'Core Inputs Interface'!$17:$17,0)),"")</f>
        <v>10149</v>
      </c>
      <c r="AI218" s="55">
        <f t="shared" si="79"/>
        <v>0</v>
      </c>
      <c r="AJ218" s="55">
        <f t="shared" si="75"/>
        <v>0.54050345117059384</v>
      </c>
      <c r="AK218" s="55">
        <f t="shared" si="76"/>
        <v>0.6</v>
      </c>
      <c r="AL218" s="55">
        <f t="shared" ca="1" si="80"/>
        <v>0.25</v>
      </c>
      <c r="AM218" s="65">
        <f t="shared" ca="1" si="77"/>
        <v>0</v>
      </c>
      <c r="AN218" s="66">
        <f t="shared" ca="1" si="78"/>
        <v>0</v>
      </c>
      <c r="AO218" s="56">
        <f t="shared" ca="1" si="82"/>
        <v>0</v>
      </c>
      <c r="AP218" t="str">
        <f t="shared" si="71"/>
        <v>Roads_46447</v>
      </c>
      <c r="AQ218" t="str">
        <f t="shared" si="72"/>
        <v>Interior_46447</v>
      </c>
    </row>
    <row r="219" spans="31:43" ht="15.6" thickTop="1" thickBot="1">
      <c r="AE219" s="59" t="str">
        <f t="shared" si="73"/>
        <v>Roads</v>
      </c>
      <c r="AF219" s="59" t="str">
        <f t="shared" si="81"/>
        <v>Bitumen</v>
      </c>
      <c r="AG219" s="60">
        <f t="shared" si="83"/>
        <v>46447</v>
      </c>
      <c r="AH219" s="79">
        <f ca="1">IFERROR(INDEX('Core Inputs Interface'!$1:$1048576,MATCH($AE219,'Core Inputs Interface'!$H:$H,0),MATCH($AG219,'Core Inputs Interface'!$17:$17,0)),"")</f>
        <v>10149</v>
      </c>
      <c r="AI219" s="55">
        <f t="shared" si="79"/>
        <v>0.13500000000000001</v>
      </c>
      <c r="AJ219" s="55">
        <f t="shared" si="75"/>
        <v>0.14985905317691026</v>
      </c>
      <c r="AK219" s="55">
        <f t="shared" si="76"/>
        <v>0.6</v>
      </c>
      <c r="AL219" s="55">
        <f t="shared" ca="1" si="80"/>
        <v>0.25</v>
      </c>
      <c r="AM219" s="65">
        <f t="shared" ca="1" si="77"/>
        <v>30.798620496522361</v>
      </c>
      <c r="AN219" s="66">
        <f t="shared" ca="1" si="78"/>
        <v>1370.115</v>
      </c>
      <c r="AO219" s="56">
        <f t="shared" ca="1" si="82"/>
        <v>2.2478857976536541E-2</v>
      </c>
      <c r="AP219" t="str">
        <f t="shared" si="71"/>
        <v>Roads_46447</v>
      </c>
      <c r="AQ219" t="str">
        <f t="shared" si="72"/>
        <v>Bitumen_46447</v>
      </c>
    </row>
    <row r="220" spans="31:43" ht="15.6" thickTop="1" thickBot="1">
      <c r="AE220" s="59" t="str">
        <f t="shared" si="73"/>
        <v>Roads</v>
      </c>
      <c r="AF220" s="59" t="str">
        <f t="shared" si="81"/>
        <v>Polyethylene pipes</v>
      </c>
      <c r="AG220" s="60">
        <f t="shared" si="83"/>
        <v>46447</v>
      </c>
      <c r="AH220" s="79">
        <f ca="1">IFERROR(INDEX('Core Inputs Interface'!$1:$1048576,MATCH($AE220,'Core Inputs Interface'!$H:$H,0),MATCH($AG220,'Core Inputs Interface'!$17:$17,0)),"")</f>
        <v>10149</v>
      </c>
      <c r="AI220" s="55">
        <f t="shared" si="79"/>
        <v>0</v>
      </c>
      <c r="AJ220" s="55">
        <f t="shared" si="75"/>
        <v>0.12828361767948987</v>
      </c>
      <c r="AK220" s="55">
        <f t="shared" si="76"/>
        <v>0.6</v>
      </c>
      <c r="AL220" s="55">
        <f t="shared" ca="1" si="80"/>
        <v>0.25</v>
      </c>
      <c r="AM220" s="65">
        <f t="shared" ca="1" si="77"/>
        <v>0</v>
      </c>
      <c r="AN220" s="66">
        <f t="shared" ca="1" si="78"/>
        <v>0</v>
      </c>
      <c r="AO220" s="56">
        <f t="shared" ca="1" si="82"/>
        <v>0</v>
      </c>
      <c r="AP220" t="str">
        <f t="shared" si="71"/>
        <v>Roads_46447</v>
      </c>
      <c r="AQ220" t="str">
        <f t="shared" si="72"/>
        <v>Polyethylene pipes_46447</v>
      </c>
    </row>
    <row r="221" spans="31:43" ht="15.6" thickTop="1" thickBot="1">
      <c r="AE221" s="59" t="str">
        <f t="shared" si="73"/>
        <v>Roads</v>
      </c>
      <c r="AF221" s="59" t="str">
        <f t="shared" si="81"/>
        <v>Plant and equipment</v>
      </c>
      <c r="AG221" s="60">
        <f t="shared" si="83"/>
        <v>46447</v>
      </c>
      <c r="AH221" s="79">
        <f ca="1">IFERROR(INDEX('Core Inputs Interface'!$1:$1048576,MATCH($AE221,'Core Inputs Interface'!$H:$H,0),MATCH($AG221,'Core Inputs Interface'!$17:$17,0)),"")</f>
        <v>10149</v>
      </c>
      <c r="AI221" s="55">
        <f t="shared" si="79"/>
        <v>7.4999999999999997E-2</v>
      </c>
      <c r="AJ221" s="55">
        <f t="shared" si="75"/>
        <v>0.31546495432215926</v>
      </c>
      <c r="AK221" s="55">
        <f t="shared" si="76"/>
        <v>0.8</v>
      </c>
      <c r="AL221" s="55">
        <f t="shared" ca="1" si="80"/>
        <v>0.25</v>
      </c>
      <c r="AM221" s="65">
        <f t="shared" ca="1" si="77"/>
        <v>48.024807321233915</v>
      </c>
      <c r="AN221" s="66">
        <f t="shared" ca="1" si="78"/>
        <v>761.17499999999995</v>
      </c>
      <c r="AO221" s="56">
        <f t="shared" ca="1" si="82"/>
        <v>6.3092990864431861E-2</v>
      </c>
      <c r="AP221" t="str">
        <f t="shared" si="71"/>
        <v>Roads_46447</v>
      </c>
      <c r="AQ221" t="str">
        <f t="shared" si="72"/>
        <v>Plant and equipment_46447</v>
      </c>
    </row>
    <row r="222" spans="31:43" ht="15.6" thickTop="1" thickBot="1">
      <c r="AE222" s="59" t="str">
        <f t="shared" si="73"/>
        <v>Roads</v>
      </c>
      <c r="AF222" s="59" t="str">
        <f t="shared" si="81"/>
        <v>Electrical equipment</v>
      </c>
      <c r="AG222" s="60">
        <f t="shared" si="83"/>
        <v>46447</v>
      </c>
      <c r="AH222" s="79">
        <f ca="1">IFERROR(INDEX('Core Inputs Interface'!$1:$1048576,MATCH($AE222,'Core Inputs Interface'!$H:$H,0),MATCH($AG222,'Core Inputs Interface'!$17:$17,0)),"")</f>
        <v>10149</v>
      </c>
      <c r="AI222" s="55">
        <f t="shared" si="79"/>
        <v>0</v>
      </c>
      <c r="AJ222" s="55">
        <f t="shared" si="75"/>
        <v>0.48556692694591386</v>
      </c>
      <c r="AK222" s="55">
        <f t="shared" si="76"/>
        <v>0.8</v>
      </c>
      <c r="AL222" s="55">
        <f t="shared" ca="1" si="80"/>
        <v>0.25</v>
      </c>
      <c r="AM222" s="65">
        <f t="shared" ca="1" si="77"/>
        <v>0</v>
      </c>
      <c r="AN222" s="66">
        <f t="shared" ca="1" si="78"/>
        <v>0</v>
      </c>
      <c r="AO222" s="56">
        <f t="shared" ca="1" si="82"/>
        <v>0</v>
      </c>
      <c r="AP222" t="str">
        <f t="shared" si="71"/>
        <v>Roads_46447</v>
      </c>
      <c r="AQ222" t="str">
        <f t="shared" si="72"/>
        <v>Electrical equipment_46447</v>
      </c>
    </row>
    <row r="223" spans="31:43" ht="15.6" thickTop="1" thickBot="1">
      <c r="AE223" s="59" t="str">
        <f t="shared" si="73"/>
        <v>Roads</v>
      </c>
      <c r="AF223" s="59" t="str">
        <f t="shared" si="81"/>
        <v>Road equipment</v>
      </c>
      <c r="AG223" s="60">
        <f t="shared" si="83"/>
        <v>46447</v>
      </c>
      <c r="AH223" s="79">
        <f ca="1">IFERROR(INDEX('Core Inputs Interface'!$1:$1048576,MATCH($AE223,'Core Inputs Interface'!$H:$H,0),MATCH($AG223,'Core Inputs Interface'!$17:$17,0)),"")</f>
        <v>10149</v>
      </c>
      <c r="AI223" s="55">
        <f t="shared" si="79"/>
        <v>0.02</v>
      </c>
      <c r="AJ223" s="55">
        <f t="shared" si="75"/>
        <v>0.23440288076987165</v>
      </c>
      <c r="AK223" s="55">
        <f t="shared" si="76"/>
        <v>0.8</v>
      </c>
      <c r="AL223" s="55">
        <f t="shared" ca="1" si="80"/>
        <v>0.25</v>
      </c>
      <c r="AM223" s="65">
        <f t="shared" ca="1" si="77"/>
        <v>9.5158193477337107</v>
      </c>
      <c r="AN223" s="66">
        <f t="shared" ca="1" si="78"/>
        <v>202.98000000000002</v>
      </c>
      <c r="AO223" s="56">
        <f t="shared" ca="1" si="82"/>
        <v>4.6880576153974333E-2</v>
      </c>
      <c r="AP223" t="str">
        <f t="shared" si="71"/>
        <v>Roads_46447</v>
      </c>
      <c r="AQ223" t="str">
        <f t="shared" si="72"/>
        <v>Road equipment_46447</v>
      </c>
    </row>
    <row r="224" spans="31:43" ht="15.6" thickTop="1" thickBot="1">
      <c r="AE224" s="59" t="str">
        <f t="shared" si="73"/>
        <v>Roads</v>
      </c>
      <c r="AF224" s="59" t="str">
        <f t="shared" si="81"/>
        <v>Water equipment</v>
      </c>
      <c r="AG224" s="60">
        <f t="shared" si="83"/>
        <v>46447</v>
      </c>
      <c r="AH224" s="79">
        <f ca="1">IFERROR(INDEX('Core Inputs Interface'!$1:$1048576,MATCH($AE224,'Core Inputs Interface'!$H:$H,0),MATCH($AG224,'Core Inputs Interface'!$17:$17,0)),"")</f>
        <v>10149</v>
      </c>
      <c r="AI224" s="55">
        <f t="shared" si="79"/>
        <v>0</v>
      </c>
      <c r="AJ224" s="55">
        <f t="shared" si="75"/>
        <v>0.53411483886586031</v>
      </c>
      <c r="AK224" s="55">
        <f t="shared" si="76"/>
        <v>0.8</v>
      </c>
      <c r="AL224" s="55">
        <f t="shared" ca="1" si="80"/>
        <v>0.25</v>
      </c>
      <c r="AM224" s="65">
        <f t="shared" ca="1" si="77"/>
        <v>0</v>
      </c>
      <c r="AN224" s="66">
        <f t="shared" ca="1" si="78"/>
        <v>0</v>
      </c>
      <c r="AO224" s="56">
        <f t="shared" ca="1" si="82"/>
        <v>0</v>
      </c>
      <c r="AP224" t="str">
        <f t="shared" si="71"/>
        <v>Roads_46447</v>
      </c>
      <c r="AQ224" t="str">
        <f t="shared" si="72"/>
        <v>Water equipment_46447</v>
      </c>
    </row>
    <row r="225" spans="30:43" ht="15.6" thickTop="1" thickBot="1">
      <c r="AE225" s="59" t="str">
        <f t="shared" si="73"/>
        <v>Roads</v>
      </c>
      <c r="AF225" s="59" t="str">
        <f t="shared" si="81"/>
        <v>Diesel</v>
      </c>
      <c r="AG225" s="60">
        <f t="shared" si="83"/>
        <v>46447</v>
      </c>
      <c r="AH225" s="79">
        <f ca="1">IFERROR(INDEX('Core Inputs Interface'!$1:$1048576,MATCH($AE225,'Core Inputs Interface'!$H:$H,0),MATCH($AG225,'Core Inputs Interface'!$17:$17,0)),"")</f>
        <v>10149</v>
      </c>
      <c r="AI225" s="55">
        <f t="shared" si="79"/>
        <v>0.06</v>
      </c>
      <c r="AJ225" s="55">
        <f t="shared" si="75"/>
        <v>0.45356302165418505</v>
      </c>
      <c r="AK225" s="55">
        <f t="shared" si="76"/>
        <v>0.6</v>
      </c>
      <c r="AL225" s="55">
        <f t="shared" ca="1" si="80"/>
        <v>0.1</v>
      </c>
      <c r="AM225" s="65">
        <f t="shared" ca="1" si="77"/>
        <v>16.571559984365965</v>
      </c>
      <c r="AN225" s="66">
        <f t="shared" ca="1" si="78"/>
        <v>608.93999999999994</v>
      </c>
      <c r="AO225" s="56">
        <f t="shared" ca="1" si="82"/>
        <v>2.7213781299251102E-2</v>
      </c>
      <c r="AP225" t="str">
        <f t="shared" si="71"/>
        <v>Roads_46447</v>
      </c>
      <c r="AQ225" t="str">
        <f t="shared" si="72"/>
        <v>Diesel_46447</v>
      </c>
    </row>
    <row r="226" spans="30:43" ht="15.6" thickTop="1" thickBot="1">
      <c r="AE226" s="59" t="str">
        <f t="shared" si="73"/>
        <v>Roads</v>
      </c>
      <c r="AF226" s="59" t="str">
        <f t="shared" si="81"/>
        <v>Vehicles</v>
      </c>
      <c r="AG226" s="60">
        <f t="shared" si="83"/>
        <v>46447</v>
      </c>
      <c r="AH226" s="79">
        <f ca="1">IFERROR(INDEX('Core Inputs Interface'!$1:$1048576,MATCH($AE226,'Core Inputs Interface'!$H:$H,0),MATCH($AG226,'Core Inputs Interface'!$17:$17,0)),"")</f>
        <v>10149</v>
      </c>
      <c r="AI226" s="55">
        <f t="shared" si="79"/>
        <v>0</v>
      </c>
      <c r="AJ226" s="55">
        <f t="shared" si="75"/>
        <v>0.52451068102476561</v>
      </c>
      <c r="AK226" s="55">
        <f t="shared" si="76"/>
        <v>0.8</v>
      </c>
      <c r="AL226" s="55">
        <f t="shared" ca="1" si="80"/>
        <v>0.25</v>
      </c>
      <c r="AM226" s="65">
        <f t="shared" ca="1" si="77"/>
        <v>0</v>
      </c>
      <c r="AN226" s="66">
        <f t="shared" ca="1" si="78"/>
        <v>0</v>
      </c>
      <c r="AO226" s="56">
        <f t="shared" ca="1" si="82"/>
        <v>0</v>
      </c>
      <c r="AP226" t="str">
        <f t="shared" si="71"/>
        <v>Roads_46447</v>
      </c>
      <c r="AQ226" t="str">
        <f t="shared" si="72"/>
        <v>Vehicles_46447</v>
      </c>
    </row>
    <row r="227" spans="30:43" ht="15.6" thickTop="1" thickBot="1">
      <c r="AE227" s="59" t="str">
        <f>AE226</f>
        <v>Roads</v>
      </c>
      <c r="AF227" s="59" t="str">
        <f t="shared" ref="AF227:AF228" si="84">AF205</f>
        <v>Machinery &amp; Equipment</v>
      </c>
      <c r="AG227" s="60">
        <f>AG226</f>
        <v>46447</v>
      </c>
      <c r="AH227" s="79">
        <f ca="1">IFERROR(INDEX('Core Inputs Interface'!$1:$1048576,MATCH($AE227,'Core Inputs Interface'!$H:$H,0),MATCH($AG227,'Core Inputs Interface'!$17:$17,0)),"")</f>
        <v>10149</v>
      </c>
      <c r="AI227" s="55">
        <f t="shared" si="79"/>
        <v>0</v>
      </c>
      <c r="AJ227" s="55">
        <f t="shared" si="75"/>
        <v>0.39238740022595126</v>
      </c>
      <c r="AK227" s="55">
        <f t="shared" si="76"/>
        <v>0.8</v>
      </c>
      <c r="AL227" s="55">
        <f t="shared" ca="1" si="80"/>
        <v>0.25</v>
      </c>
      <c r="AM227" s="65">
        <f t="shared" ca="1" si="77"/>
        <v>0</v>
      </c>
      <c r="AN227" s="66">
        <f t="shared" ca="1" si="78"/>
        <v>0</v>
      </c>
      <c r="AO227" s="56">
        <f ca="1">IFERROR(AM227/AN227,0)</f>
        <v>0</v>
      </c>
      <c r="AP227" t="str">
        <f>_xlfn.TEXTJOIN("_",,$AE227,$AG227)</f>
        <v>Roads_46447</v>
      </c>
      <c r="AQ227" t="str">
        <f>_xlfn.TEXTJOIN("_",,$AF227,$AG227)</f>
        <v>Machinery &amp; Equipment_46447</v>
      </c>
    </row>
    <row r="228" spans="30:43" ht="15.6" thickTop="1" thickBot="1">
      <c r="AE228" s="59" t="str">
        <f>AE227</f>
        <v>Roads</v>
      </c>
      <c r="AF228" s="59" t="str">
        <f t="shared" si="84"/>
        <v>Office Equipment &amp; IT</v>
      </c>
      <c r="AG228" s="60">
        <f>AG227</f>
        <v>46447</v>
      </c>
      <c r="AH228" s="79">
        <f ca="1">IFERROR(INDEX('Core Inputs Interface'!$1:$1048576,MATCH($AE228,'Core Inputs Interface'!$H:$H,0),MATCH($AG228,'Core Inputs Interface'!$17:$17,0)),"")</f>
        <v>10149</v>
      </c>
      <c r="AI228" s="55">
        <f t="shared" si="79"/>
        <v>0</v>
      </c>
      <c r="AJ228" s="55">
        <f t="shared" si="75"/>
        <v>0.15</v>
      </c>
      <c r="AK228" s="55">
        <f t="shared" si="76"/>
        <v>0.8</v>
      </c>
      <c r="AL228" s="55">
        <f t="shared" ca="1" si="80"/>
        <v>0.25</v>
      </c>
      <c r="AM228" s="65">
        <f t="shared" ca="1" si="77"/>
        <v>0</v>
      </c>
      <c r="AN228" s="66">
        <f t="shared" ca="1" si="78"/>
        <v>0</v>
      </c>
      <c r="AO228" s="56">
        <f ca="1">IFERROR(AM228/AN228,0)</f>
        <v>0</v>
      </c>
      <c r="AP228" t="str">
        <f>_xlfn.TEXTJOIN("_",,$AE228,$AG228)</f>
        <v>Roads_46447</v>
      </c>
      <c r="AQ228" t="str">
        <f>_xlfn.TEXTJOIN("_",,$AF228,$AG228)</f>
        <v>Office Equipment &amp; IT_46447</v>
      </c>
    </row>
    <row r="229" spans="30:43" ht="15.6" thickTop="1" thickBot="1">
      <c r="AD229">
        <f>AD185+1</f>
        <v>6</v>
      </c>
      <c r="AE229" s="57" t="str" cm="1">
        <f t="array" ref="AE229">INDEX($F$8:$Q$8,$AD229)</f>
        <v>Bridges &amp; Culverts</v>
      </c>
      <c r="AF229" s="58" t="s">
        <v>66</v>
      </c>
      <c r="AG229" s="62">
        <v>46082</v>
      </c>
      <c r="AH229" s="79">
        <f ca="1">IFERROR(INDEX('Core Inputs Interface'!$1:$1048576,MATCH($AE229,'Core Inputs Interface'!$H:$H,0),MATCH($AG229,'Core Inputs Interface'!$17:$17,0)),"")</f>
        <v>914</v>
      </c>
      <c r="AI229" s="55">
        <f t="shared" si="79"/>
        <v>0.35</v>
      </c>
      <c r="AJ229" s="55" t="str">
        <f t="shared" si="75"/>
        <v>N/A</v>
      </c>
      <c r="AK229" s="55" t="str">
        <f t="shared" si="76"/>
        <v>N/A</v>
      </c>
      <c r="AL229" s="55" t="str">
        <f t="shared" ca="1" si="80"/>
        <v>N/A</v>
      </c>
      <c r="AM229" s="65">
        <f t="shared" ca="1" si="77"/>
        <v>0</v>
      </c>
      <c r="AN229" s="66">
        <f t="shared" ca="1" si="78"/>
        <v>319.89999999999998</v>
      </c>
      <c r="AO229" s="56">
        <f ca="1">IFERROR(AM229/AN229,0)</f>
        <v>0</v>
      </c>
      <c r="AP229" t="str">
        <f>_xlfn.TEXTJOIN("_",,$AE229,$AG229)</f>
        <v>Bridges &amp; Culverts_46082</v>
      </c>
      <c r="AQ229" t="str">
        <f>_xlfn.TEXTJOIN("_",,$AF229,$AG229)</f>
        <v>Labour_46082</v>
      </c>
    </row>
    <row r="230" spans="30:43" ht="15.6" thickTop="1" thickBot="1">
      <c r="AE230" s="59" t="str">
        <f>AE229</f>
        <v>Bridges &amp; Culverts</v>
      </c>
      <c r="AF230" s="58" t="s">
        <v>67</v>
      </c>
      <c r="AG230" s="60">
        <f>AG229</f>
        <v>46082</v>
      </c>
      <c r="AH230" s="79">
        <f ca="1">IFERROR(INDEX('Core Inputs Interface'!$1:$1048576,MATCH($AE230,'Core Inputs Interface'!$H:$H,0),MATCH($AG230,'Core Inputs Interface'!$17:$17,0)),"")</f>
        <v>914</v>
      </c>
      <c r="AI230" s="55">
        <f t="shared" si="79"/>
        <v>0.2</v>
      </c>
      <c r="AJ230" s="55" t="str">
        <f t="shared" si="75"/>
        <v>N/A</v>
      </c>
      <c r="AK230" s="55" t="str">
        <f t="shared" si="76"/>
        <v>N/A</v>
      </c>
      <c r="AL230" s="55" t="str">
        <f t="shared" ca="1" si="80"/>
        <v>N/A</v>
      </c>
      <c r="AM230" s="65">
        <f t="shared" ca="1" si="77"/>
        <v>0</v>
      </c>
      <c r="AN230" s="66">
        <f t="shared" ca="1" si="78"/>
        <v>182.8</v>
      </c>
      <c r="AO230" s="56">
        <f t="shared" ref="AO230:AO248" ca="1" si="85">IFERROR(AM230/AN230,0)</f>
        <v>0</v>
      </c>
      <c r="AP230" t="str">
        <f t="shared" ref="AP230:AP270" si="86">_xlfn.TEXTJOIN("_",,$AE230,$AG230)</f>
        <v>Bridges &amp; Culverts_46082</v>
      </c>
      <c r="AQ230" t="str">
        <f t="shared" ref="AQ230:AQ270" si="87">_xlfn.TEXTJOIN("_",,$AF230,$AG230)</f>
        <v>Engineering design_46082</v>
      </c>
    </row>
    <row r="231" spans="30:43" ht="15.6" thickTop="1" thickBot="1">
      <c r="AE231" s="59" t="str">
        <f t="shared" ref="AE231:AE270" si="88">AE230</f>
        <v>Bridges &amp; Culverts</v>
      </c>
      <c r="AF231" s="58" t="s">
        <v>26</v>
      </c>
      <c r="AG231" s="60">
        <f t="shared" ref="AG231:AG248" si="89">AG230</f>
        <v>46082</v>
      </c>
      <c r="AH231" s="79">
        <f ca="1">IFERROR(INDEX('Core Inputs Interface'!$1:$1048576,MATCH($AE231,'Core Inputs Interface'!$H:$H,0),MATCH($AG231,'Core Inputs Interface'!$17:$17,0)),"")</f>
        <v>914</v>
      </c>
      <c r="AI231" s="55">
        <f t="shared" si="79"/>
        <v>0.16</v>
      </c>
      <c r="AJ231" s="55">
        <f t="shared" si="75"/>
        <v>8.4066217963502693E-2</v>
      </c>
      <c r="AK231" s="55">
        <f t="shared" si="76"/>
        <v>0.6</v>
      </c>
      <c r="AL231" s="55">
        <f t="shared" ca="1" si="80"/>
        <v>0.25</v>
      </c>
      <c r="AM231" s="65">
        <f t="shared" ca="1" si="77"/>
        <v>1.8440765572473949</v>
      </c>
      <c r="AN231" s="66">
        <f t="shared" ca="1" si="78"/>
        <v>146.24</v>
      </c>
      <c r="AO231" s="56">
        <f t="shared" ca="1" si="85"/>
        <v>1.2609932694525402E-2</v>
      </c>
      <c r="AP231" t="str">
        <f t="shared" si="86"/>
        <v>Bridges &amp; Culverts_46082</v>
      </c>
      <c r="AQ231" t="str">
        <f t="shared" si="87"/>
        <v>Reinforcing bar_46082</v>
      </c>
    </row>
    <row r="232" spans="30:43" ht="15.6" thickTop="1" thickBot="1">
      <c r="AE232" s="59" t="str">
        <f t="shared" si="88"/>
        <v>Bridges &amp; Culverts</v>
      </c>
      <c r="AF232" s="58" t="s">
        <v>27</v>
      </c>
      <c r="AG232" s="60">
        <f t="shared" si="89"/>
        <v>46082</v>
      </c>
      <c r="AH232" s="79">
        <f ca="1">IFERROR(INDEX('Core Inputs Interface'!$1:$1048576,MATCH($AE232,'Core Inputs Interface'!$H:$H,0),MATCH($AG232,'Core Inputs Interface'!$17:$17,0)),"")</f>
        <v>914</v>
      </c>
      <c r="AI232" s="55">
        <f t="shared" si="79"/>
        <v>0.16</v>
      </c>
      <c r="AJ232" s="55">
        <f t="shared" si="75"/>
        <v>0.52500514810102583</v>
      </c>
      <c r="AK232" s="55">
        <f t="shared" si="76"/>
        <v>0.6</v>
      </c>
      <c r="AL232" s="55">
        <f t="shared" ca="1" si="80"/>
        <v>0.25</v>
      </c>
      <c r="AM232" s="65">
        <f t="shared" ca="1" si="77"/>
        <v>11.516512928744103</v>
      </c>
      <c r="AN232" s="66">
        <f t="shared" ca="1" si="78"/>
        <v>146.24</v>
      </c>
      <c r="AO232" s="56">
        <f t="shared" ca="1" si="85"/>
        <v>7.8750772215153864E-2</v>
      </c>
      <c r="AP232" t="str">
        <f t="shared" si="86"/>
        <v>Bridges &amp; Culverts_46082</v>
      </c>
      <c r="AQ232" t="str">
        <f t="shared" si="87"/>
        <v>Structural steel_46082</v>
      </c>
    </row>
    <row r="233" spans="30:43" ht="15.6" thickTop="1" thickBot="1">
      <c r="AE233" s="59" t="str">
        <f t="shared" si="88"/>
        <v>Bridges &amp; Culverts</v>
      </c>
      <c r="AF233" s="58" t="s">
        <v>28</v>
      </c>
      <c r="AG233" s="60">
        <f t="shared" si="89"/>
        <v>46082</v>
      </c>
      <c r="AH233" s="79">
        <f ca="1">IFERROR(INDEX('Core Inputs Interface'!$1:$1048576,MATCH($AE233,'Core Inputs Interface'!$H:$H,0),MATCH($AG233,'Core Inputs Interface'!$17:$17,0)),"")</f>
        <v>914</v>
      </c>
      <c r="AI233" s="55">
        <f t="shared" si="79"/>
        <v>0</v>
      </c>
      <c r="AJ233" s="55">
        <f t="shared" si="75"/>
        <v>9.1004090556242881E-2</v>
      </c>
      <c r="AK233" s="55">
        <f t="shared" si="76"/>
        <v>0.6</v>
      </c>
      <c r="AL233" s="55">
        <f t="shared" ca="1" si="80"/>
        <v>0.25</v>
      </c>
      <c r="AM233" s="65">
        <f t="shared" ca="1" si="77"/>
        <v>0</v>
      </c>
      <c r="AN233" s="66">
        <f t="shared" ca="1" si="78"/>
        <v>0</v>
      </c>
      <c r="AO233" s="56">
        <f t="shared" ca="1" si="85"/>
        <v>0</v>
      </c>
      <c r="AP233" t="str">
        <f t="shared" si="86"/>
        <v>Bridges &amp; Culverts_46082</v>
      </c>
      <c r="AQ233" t="str">
        <f t="shared" si="87"/>
        <v>Quarry Material_46082</v>
      </c>
    </row>
    <row r="234" spans="30:43" ht="15.6" thickTop="1" thickBot="1">
      <c r="AE234" s="59" t="str">
        <f t="shared" si="88"/>
        <v>Bridges &amp; Culverts</v>
      </c>
      <c r="AF234" s="58" t="s">
        <v>30</v>
      </c>
      <c r="AG234" s="60">
        <f t="shared" si="89"/>
        <v>46082</v>
      </c>
      <c r="AH234" s="79">
        <f ca="1">IFERROR(INDEX('Core Inputs Interface'!$1:$1048576,MATCH($AE234,'Core Inputs Interface'!$H:$H,0),MATCH($AG234,'Core Inputs Interface'!$17:$17,0)),"")</f>
        <v>914</v>
      </c>
      <c r="AI234" s="55">
        <f t="shared" si="79"/>
        <v>0</v>
      </c>
      <c r="AJ234" s="55">
        <f t="shared" si="75"/>
        <v>1.1472584695084088E-2</v>
      </c>
      <c r="AK234" s="55">
        <f t="shared" si="76"/>
        <v>0.6</v>
      </c>
      <c r="AL234" s="55">
        <f t="shared" ca="1" si="80"/>
        <v>0.25</v>
      </c>
      <c r="AM234" s="65">
        <f t="shared" ca="1" si="77"/>
        <v>0</v>
      </c>
      <c r="AN234" s="66">
        <f t="shared" ca="1" si="78"/>
        <v>0</v>
      </c>
      <c r="AO234" s="56">
        <f t="shared" ca="1" si="85"/>
        <v>0</v>
      </c>
      <c r="AP234" t="str">
        <f t="shared" si="86"/>
        <v>Bridges &amp; Culverts_46082</v>
      </c>
      <c r="AQ234" t="str">
        <f t="shared" si="87"/>
        <v>Concrete_46082</v>
      </c>
    </row>
    <row r="235" spans="30:43" ht="15.6" thickTop="1" thickBot="1">
      <c r="AE235" s="59" t="str">
        <f t="shared" si="88"/>
        <v>Bridges &amp; Culverts</v>
      </c>
      <c r="AF235" s="57" t="s">
        <v>32</v>
      </c>
      <c r="AG235" s="60">
        <f t="shared" si="89"/>
        <v>46082</v>
      </c>
      <c r="AH235" s="79">
        <f ca="1">IFERROR(INDEX('Core Inputs Interface'!$1:$1048576,MATCH($AE235,'Core Inputs Interface'!$H:$H,0),MATCH($AG235,'Core Inputs Interface'!$17:$17,0)),"")</f>
        <v>914</v>
      </c>
      <c r="AI235" s="55">
        <f t="shared" si="79"/>
        <v>0</v>
      </c>
      <c r="AJ235" s="55">
        <f t="shared" si="75"/>
        <v>9.8410961434768088E-2</v>
      </c>
      <c r="AK235" s="55">
        <f t="shared" si="76"/>
        <v>0.6</v>
      </c>
      <c r="AL235" s="55">
        <f t="shared" ca="1" si="80"/>
        <v>0.25</v>
      </c>
      <c r="AM235" s="65">
        <f t="shared" ca="1" si="77"/>
        <v>0</v>
      </c>
      <c r="AN235" s="66">
        <f t="shared" ca="1" si="78"/>
        <v>0</v>
      </c>
      <c r="AO235" s="56">
        <f t="shared" ca="1" si="85"/>
        <v>0</v>
      </c>
      <c r="AP235" t="str">
        <f t="shared" si="86"/>
        <v>Bridges &amp; Culverts_46082</v>
      </c>
      <c r="AQ235" t="str">
        <f t="shared" si="87"/>
        <v>Masonry_46082</v>
      </c>
    </row>
    <row r="236" spans="30:43" ht="15.6" thickTop="1" thickBot="1">
      <c r="AE236" s="59" t="str">
        <f t="shared" si="88"/>
        <v>Bridges &amp; Culverts</v>
      </c>
      <c r="AF236" s="57" t="s">
        <v>34</v>
      </c>
      <c r="AG236" s="60">
        <f t="shared" si="89"/>
        <v>46082</v>
      </c>
      <c r="AH236" s="79">
        <f ca="1">IFERROR(INDEX('Core Inputs Interface'!$1:$1048576,MATCH($AE236,'Core Inputs Interface'!$H:$H,0),MATCH($AG236,'Core Inputs Interface'!$17:$17,0)),"")</f>
        <v>914</v>
      </c>
      <c r="AI236" s="55">
        <f t="shared" si="79"/>
        <v>0</v>
      </c>
      <c r="AJ236" s="55">
        <f t="shared" si="75"/>
        <v>0.13840817436677436</v>
      </c>
      <c r="AK236" s="55">
        <f t="shared" si="76"/>
        <v>0.6</v>
      </c>
      <c r="AL236" s="55">
        <f t="shared" ca="1" si="80"/>
        <v>0.25</v>
      </c>
      <c r="AM236" s="65">
        <f t="shared" ca="1" si="77"/>
        <v>0</v>
      </c>
      <c r="AN236" s="66">
        <f t="shared" ca="1" si="78"/>
        <v>0</v>
      </c>
      <c r="AO236" s="56">
        <f t="shared" ca="1" si="85"/>
        <v>0</v>
      </c>
      <c r="AP236" t="str">
        <f t="shared" si="86"/>
        <v>Bridges &amp; Culverts_46082</v>
      </c>
      <c r="AQ236" t="str">
        <f t="shared" si="87"/>
        <v>Wood_46082</v>
      </c>
    </row>
    <row r="237" spans="30:43" ht="15.6" thickTop="1" thickBot="1">
      <c r="AE237" s="59" t="str">
        <f t="shared" si="88"/>
        <v>Bridges &amp; Culverts</v>
      </c>
      <c r="AF237" s="57" t="s">
        <v>36</v>
      </c>
      <c r="AG237" s="60">
        <f t="shared" si="89"/>
        <v>46082</v>
      </c>
      <c r="AH237" s="79">
        <f ca="1">IFERROR(INDEX('Core Inputs Interface'!$1:$1048576,MATCH($AE237,'Core Inputs Interface'!$H:$H,0),MATCH($AG237,'Core Inputs Interface'!$17:$17,0)),"")</f>
        <v>914</v>
      </c>
      <c r="AI237" s="55">
        <f t="shared" si="79"/>
        <v>0</v>
      </c>
      <c r="AJ237" s="55">
        <f t="shared" si="75"/>
        <v>0.80654510583379313</v>
      </c>
      <c r="AK237" s="55">
        <f t="shared" si="76"/>
        <v>0.6</v>
      </c>
      <c r="AL237" s="55">
        <f t="shared" ca="1" si="80"/>
        <v>0.25</v>
      </c>
      <c r="AM237" s="65">
        <f t="shared" ca="1" si="77"/>
        <v>0</v>
      </c>
      <c r="AN237" s="66">
        <f t="shared" ca="1" si="78"/>
        <v>0</v>
      </c>
      <c r="AO237" s="56">
        <f t="shared" ca="1" si="85"/>
        <v>0</v>
      </c>
      <c r="AP237" t="str">
        <f t="shared" si="86"/>
        <v>Bridges &amp; Culverts_46082</v>
      </c>
      <c r="AQ237" t="str">
        <f t="shared" si="87"/>
        <v>Electrical wire_46082</v>
      </c>
    </row>
    <row r="238" spans="30:43" ht="15.6" thickTop="1" thickBot="1">
      <c r="AE238" s="59" t="str">
        <f t="shared" si="88"/>
        <v>Bridges &amp; Culverts</v>
      </c>
      <c r="AF238" s="57" t="s">
        <v>38</v>
      </c>
      <c r="AG238" s="60">
        <f t="shared" si="89"/>
        <v>46082</v>
      </c>
      <c r="AH238" s="79">
        <f ca="1">IFERROR(INDEX('Core Inputs Interface'!$1:$1048576,MATCH($AE238,'Core Inputs Interface'!$H:$H,0),MATCH($AG238,'Core Inputs Interface'!$17:$17,0)),"")</f>
        <v>914</v>
      </c>
      <c r="AI238" s="55">
        <f t="shared" si="79"/>
        <v>0</v>
      </c>
      <c r="AJ238" s="55">
        <f t="shared" si="75"/>
        <v>0.24210307145623419</v>
      </c>
      <c r="AK238" s="55">
        <f t="shared" si="76"/>
        <v>0.6</v>
      </c>
      <c r="AL238" s="55">
        <f t="shared" ca="1" si="80"/>
        <v>0.25</v>
      </c>
      <c r="AM238" s="65">
        <f t="shared" ca="1" si="77"/>
        <v>0</v>
      </c>
      <c r="AN238" s="66">
        <f t="shared" ca="1" si="78"/>
        <v>0</v>
      </c>
      <c r="AO238" s="56">
        <f t="shared" ca="1" si="85"/>
        <v>0</v>
      </c>
      <c r="AP238" t="str">
        <f t="shared" si="86"/>
        <v>Bridges &amp; Culverts_46082</v>
      </c>
      <c r="AQ238" t="str">
        <f t="shared" si="87"/>
        <v>Glass_46082</v>
      </c>
    </row>
    <row r="239" spans="30:43" ht="15.6" thickTop="1" thickBot="1">
      <c r="AE239" s="59" t="str">
        <f t="shared" si="88"/>
        <v>Bridges &amp; Culverts</v>
      </c>
      <c r="AF239" s="57" t="s">
        <v>40</v>
      </c>
      <c r="AG239" s="60">
        <f t="shared" si="89"/>
        <v>46082</v>
      </c>
      <c r="AH239" s="79">
        <f ca="1">IFERROR(INDEX('Core Inputs Interface'!$1:$1048576,MATCH($AE239,'Core Inputs Interface'!$H:$H,0),MATCH($AG239,'Core Inputs Interface'!$17:$17,0)),"")</f>
        <v>914</v>
      </c>
      <c r="AI239" s="55">
        <f t="shared" si="79"/>
        <v>0</v>
      </c>
      <c r="AJ239" s="55">
        <f t="shared" si="75"/>
        <v>2.4772729573316262E-4</v>
      </c>
      <c r="AK239" s="55">
        <f t="shared" si="76"/>
        <v>0.6</v>
      </c>
      <c r="AL239" s="55">
        <f t="shared" ca="1" si="80"/>
        <v>0.25</v>
      </c>
      <c r="AM239" s="65">
        <f t="shared" ca="1" si="77"/>
        <v>0</v>
      </c>
      <c r="AN239" s="66">
        <f t="shared" ca="1" si="78"/>
        <v>0</v>
      </c>
      <c r="AO239" s="56">
        <f t="shared" ca="1" si="85"/>
        <v>0</v>
      </c>
      <c r="AP239" t="str">
        <f t="shared" si="86"/>
        <v>Bridges &amp; Culverts_46082</v>
      </c>
      <c r="AQ239" t="str">
        <f t="shared" si="87"/>
        <v>Roofing_46082</v>
      </c>
    </row>
    <row r="240" spans="30:43" ht="15.6" thickTop="1" thickBot="1">
      <c r="AE240" s="59" t="str">
        <f t="shared" si="88"/>
        <v>Bridges &amp; Culverts</v>
      </c>
      <c r="AF240" s="57" t="s">
        <v>42</v>
      </c>
      <c r="AG240" s="60">
        <f t="shared" si="89"/>
        <v>46082</v>
      </c>
      <c r="AH240" s="79">
        <f ca="1">IFERROR(INDEX('Core Inputs Interface'!$1:$1048576,MATCH($AE240,'Core Inputs Interface'!$H:$H,0),MATCH($AG240,'Core Inputs Interface'!$17:$17,0)),"")</f>
        <v>914</v>
      </c>
      <c r="AI240" s="55">
        <f t="shared" si="79"/>
        <v>0</v>
      </c>
      <c r="AJ240" s="55">
        <f t="shared" si="75"/>
        <v>0.54050345117059384</v>
      </c>
      <c r="AK240" s="55">
        <f t="shared" si="76"/>
        <v>0.6</v>
      </c>
      <c r="AL240" s="55">
        <f t="shared" ca="1" si="80"/>
        <v>0.25</v>
      </c>
      <c r="AM240" s="65">
        <f t="shared" ca="1" si="77"/>
        <v>0</v>
      </c>
      <c r="AN240" s="66">
        <f t="shared" ca="1" si="78"/>
        <v>0</v>
      </c>
      <c r="AO240" s="56">
        <f t="shared" ca="1" si="85"/>
        <v>0</v>
      </c>
      <c r="AP240" t="str">
        <f t="shared" si="86"/>
        <v>Bridges &amp; Culverts_46082</v>
      </c>
      <c r="AQ240" t="str">
        <f t="shared" si="87"/>
        <v>Interior_46082</v>
      </c>
    </row>
    <row r="241" spans="31:43" ht="15.6" thickTop="1" thickBot="1">
      <c r="AE241" s="59" t="str">
        <f t="shared" si="88"/>
        <v>Bridges &amp; Culverts</v>
      </c>
      <c r="AF241" s="57" t="s">
        <v>44</v>
      </c>
      <c r="AG241" s="60">
        <f t="shared" si="89"/>
        <v>46082</v>
      </c>
      <c r="AH241" s="79">
        <f ca="1">IFERROR(INDEX('Core Inputs Interface'!$1:$1048576,MATCH($AE241,'Core Inputs Interface'!$H:$H,0),MATCH($AG241,'Core Inputs Interface'!$17:$17,0)),"")</f>
        <v>914</v>
      </c>
      <c r="AI241" s="55">
        <f t="shared" si="79"/>
        <v>0</v>
      </c>
      <c r="AJ241" s="55">
        <f t="shared" si="75"/>
        <v>0.14985905317691026</v>
      </c>
      <c r="AK241" s="55">
        <f t="shared" si="76"/>
        <v>0.6</v>
      </c>
      <c r="AL241" s="55">
        <f t="shared" ca="1" si="80"/>
        <v>0.25</v>
      </c>
      <c r="AM241" s="65">
        <f t="shared" ca="1" si="77"/>
        <v>0</v>
      </c>
      <c r="AN241" s="66">
        <f t="shared" ca="1" si="78"/>
        <v>0</v>
      </c>
      <c r="AO241" s="56">
        <f t="shared" ca="1" si="85"/>
        <v>0</v>
      </c>
      <c r="AP241" t="str">
        <f t="shared" si="86"/>
        <v>Bridges &amp; Culverts_46082</v>
      </c>
      <c r="AQ241" t="str">
        <f t="shared" si="87"/>
        <v>Bitumen_46082</v>
      </c>
    </row>
    <row r="242" spans="31:43" ht="15.6" thickTop="1" thickBot="1">
      <c r="AE242" s="59" t="str">
        <f t="shared" si="88"/>
        <v>Bridges &amp; Culverts</v>
      </c>
      <c r="AF242" s="57" t="s">
        <v>46</v>
      </c>
      <c r="AG242" s="60">
        <f t="shared" si="89"/>
        <v>46082</v>
      </c>
      <c r="AH242" s="79">
        <f ca="1">IFERROR(INDEX('Core Inputs Interface'!$1:$1048576,MATCH($AE242,'Core Inputs Interface'!$H:$H,0),MATCH($AG242,'Core Inputs Interface'!$17:$17,0)),"")</f>
        <v>914</v>
      </c>
      <c r="AI242" s="55">
        <f t="shared" si="79"/>
        <v>0</v>
      </c>
      <c r="AJ242" s="55">
        <f t="shared" si="75"/>
        <v>0.12828361767948987</v>
      </c>
      <c r="AK242" s="55">
        <f t="shared" si="76"/>
        <v>0.6</v>
      </c>
      <c r="AL242" s="55">
        <f t="shared" ca="1" si="80"/>
        <v>0.25</v>
      </c>
      <c r="AM242" s="65">
        <f t="shared" ca="1" si="77"/>
        <v>0</v>
      </c>
      <c r="AN242" s="66">
        <f t="shared" ca="1" si="78"/>
        <v>0</v>
      </c>
      <c r="AO242" s="56">
        <f t="shared" ca="1" si="85"/>
        <v>0</v>
      </c>
      <c r="AP242" t="str">
        <f t="shared" si="86"/>
        <v>Bridges &amp; Culverts_46082</v>
      </c>
      <c r="AQ242" t="str">
        <f t="shared" si="87"/>
        <v>Polyethylene pipes_46082</v>
      </c>
    </row>
    <row r="243" spans="31:43" ht="15.6" thickTop="1" thickBot="1">
      <c r="AE243" s="59" t="str">
        <f t="shared" si="88"/>
        <v>Bridges &amp; Culverts</v>
      </c>
      <c r="AF243" s="57" t="s">
        <v>48</v>
      </c>
      <c r="AG243" s="60">
        <f t="shared" si="89"/>
        <v>46082</v>
      </c>
      <c r="AH243" s="79">
        <f ca="1">IFERROR(INDEX('Core Inputs Interface'!$1:$1048576,MATCH($AE243,'Core Inputs Interface'!$H:$H,0),MATCH($AG243,'Core Inputs Interface'!$17:$17,0)),"")</f>
        <v>914</v>
      </c>
      <c r="AI243" s="55">
        <f t="shared" si="79"/>
        <v>0.08</v>
      </c>
      <c r="AJ243" s="55">
        <f t="shared" si="75"/>
        <v>0.31546495432215926</v>
      </c>
      <c r="AK243" s="55">
        <f t="shared" si="76"/>
        <v>0.8</v>
      </c>
      <c r="AL243" s="55">
        <f t="shared" ca="1" si="80"/>
        <v>0.25</v>
      </c>
      <c r="AM243" s="65">
        <f t="shared" ca="1" si="77"/>
        <v>4.613359492007258</v>
      </c>
      <c r="AN243" s="66">
        <f t="shared" ca="1" si="78"/>
        <v>73.12</v>
      </c>
      <c r="AO243" s="56">
        <f t="shared" ca="1" si="85"/>
        <v>6.3092990864431861E-2</v>
      </c>
      <c r="AP243" t="str">
        <f t="shared" si="86"/>
        <v>Bridges &amp; Culverts_46082</v>
      </c>
      <c r="AQ243" t="str">
        <f t="shared" si="87"/>
        <v>Plant and equipment_46082</v>
      </c>
    </row>
    <row r="244" spans="31:43" ht="15.6" thickTop="1" thickBot="1">
      <c r="AE244" s="59" t="str">
        <f t="shared" si="88"/>
        <v>Bridges &amp; Culverts</v>
      </c>
      <c r="AF244" s="57" t="s">
        <v>50</v>
      </c>
      <c r="AG244" s="60">
        <f t="shared" si="89"/>
        <v>46082</v>
      </c>
      <c r="AH244" s="79">
        <f ca="1">IFERROR(INDEX('Core Inputs Interface'!$1:$1048576,MATCH($AE244,'Core Inputs Interface'!$H:$H,0),MATCH($AG244,'Core Inputs Interface'!$17:$17,0)),"")</f>
        <v>914</v>
      </c>
      <c r="AI244" s="55">
        <f t="shared" si="79"/>
        <v>0</v>
      </c>
      <c r="AJ244" s="55">
        <f t="shared" si="75"/>
        <v>0.48556692694591386</v>
      </c>
      <c r="AK244" s="55">
        <f t="shared" si="76"/>
        <v>0.8</v>
      </c>
      <c r="AL244" s="55">
        <f t="shared" ca="1" si="80"/>
        <v>0.25</v>
      </c>
      <c r="AM244" s="65">
        <f t="shared" ca="1" si="77"/>
        <v>0</v>
      </c>
      <c r="AN244" s="66">
        <f t="shared" ca="1" si="78"/>
        <v>0</v>
      </c>
      <c r="AO244" s="56">
        <f t="shared" ca="1" si="85"/>
        <v>0</v>
      </c>
      <c r="AP244" t="str">
        <f t="shared" si="86"/>
        <v>Bridges &amp; Culverts_46082</v>
      </c>
      <c r="AQ244" t="str">
        <f t="shared" si="87"/>
        <v>Electrical equipment_46082</v>
      </c>
    </row>
    <row r="245" spans="31:43" ht="15.6" thickTop="1" thickBot="1">
      <c r="AE245" s="59" t="str">
        <f t="shared" si="88"/>
        <v>Bridges &amp; Culverts</v>
      </c>
      <c r="AF245" s="57" t="s">
        <v>52</v>
      </c>
      <c r="AG245" s="60">
        <f t="shared" si="89"/>
        <v>46082</v>
      </c>
      <c r="AH245" s="79">
        <f ca="1">IFERROR(INDEX('Core Inputs Interface'!$1:$1048576,MATCH($AE245,'Core Inputs Interface'!$H:$H,0),MATCH($AG245,'Core Inputs Interface'!$17:$17,0)),"")</f>
        <v>914</v>
      </c>
      <c r="AI245" s="55">
        <f t="shared" si="79"/>
        <v>0</v>
      </c>
      <c r="AJ245" s="55">
        <f t="shared" si="75"/>
        <v>0.23440288076987165</v>
      </c>
      <c r="AK245" s="55">
        <f t="shared" si="76"/>
        <v>0.8</v>
      </c>
      <c r="AL245" s="55">
        <f t="shared" ca="1" si="80"/>
        <v>0.25</v>
      </c>
      <c r="AM245" s="65">
        <f t="shared" ca="1" si="77"/>
        <v>0</v>
      </c>
      <c r="AN245" s="66">
        <f t="shared" ca="1" si="78"/>
        <v>0</v>
      </c>
      <c r="AO245" s="56">
        <f t="shared" ca="1" si="85"/>
        <v>0</v>
      </c>
      <c r="AP245" t="str">
        <f t="shared" si="86"/>
        <v>Bridges &amp; Culverts_46082</v>
      </c>
      <c r="AQ245" t="str">
        <f t="shared" si="87"/>
        <v>Road equipment_46082</v>
      </c>
    </row>
    <row r="246" spans="31:43" ht="15.6" thickTop="1" thickBot="1">
      <c r="AE246" s="59" t="str">
        <f t="shared" si="88"/>
        <v>Bridges &amp; Culverts</v>
      </c>
      <c r="AF246" s="57" t="s">
        <v>54</v>
      </c>
      <c r="AG246" s="60">
        <f t="shared" si="89"/>
        <v>46082</v>
      </c>
      <c r="AH246" s="79">
        <f ca="1">IFERROR(INDEX('Core Inputs Interface'!$1:$1048576,MATCH($AE246,'Core Inputs Interface'!$H:$H,0),MATCH($AG246,'Core Inputs Interface'!$17:$17,0)),"")</f>
        <v>914</v>
      </c>
      <c r="AI246" s="55">
        <f t="shared" si="79"/>
        <v>0</v>
      </c>
      <c r="AJ246" s="55">
        <f t="shared" si="75"/>
        <v>0.53411483886586031</v>
      </c>
      <c r="AK246" s="55">
        <f t="shared" si="76"/>
        <v>0.8</v>
      </c>
      <c r="AL246" s="55">
        <f t="shared" ca="1" si="80"/>
        <v>0.25</v>
      </c>
      <c r="AM246" s="65">
        <f t="shared" ca="1" si="77"/>
        <v>0</v>
      </c>
      <c r="AN246" s="66">
        <f t="shared" ca="1" si="78"/>
        <v>0</v>
      </c>
      <c r="AO246" s="56">
        <f t="shared" ca="1" si="85"/>
        <v>0</v>
      </c>
      <c r="AP246" t="str">
        <f t="shared" si="86"/>
        <v>Bridges &amp; Culverts_46082</v>
      </c>
      <c r="AQ246" t="str">
        <f t="shared" si="87"/>
        <v>Water equipment_46082</v>
      </c>
    </row>
    <row r="247" spans="31:43" ht="15.6" thickTop="1" thickBot="1">
      <c r="AE247" s="59" t="str">
        <f t="shared" si="88"/>
        <v>Bridges &amp; Culverts</v>
      </c>
      <c r="AF247" s="57" t="s">
        <v>56</v>
      </c>
      <c r="AG247" s="60">
        <f t="shared" si="89"/>
        <v>46082</v>
      </c>
      <c r="AH247" s="79">
        <f ca="1">IFERROR(INDEX('Core Inputs Interface'!$1:$1048576,MATCH($AE247,'Core Inputs Interface'!$H:$H,0),MATCH($AG247,'Core Inputs Interface'!$17:$17,0)),"")</f>
        <v>914</v>
      </c>
      <c r="AI247" s="55">
        <f t="shared" si="79"/>
        <v>0.05</v>
      </c>
      <c r="AJ247" s="55">
        <f t="shared" si="75"/>
        <v>0.45356302165418505</v>
      </c>
      <c r="AK247" s="55">
        <f t="shared" si="76"/>
        <v>0.6</v>
      </c>
      <c r="AL247" s="55">
        <f t="shared" ca="1" si="80"/>
        <v>0.1</v>
      </c>
      <c r="AM247" s="65">
        <f t="shared" ca="1" si="77"/>
        <v>1.2436698053757755</v>
      </c>
      <c r="AN247" s="66">
        <f t="shared" ca="1" si="78"/>
        <v>45.7</v>
      </c>
      <c r="AO247" s="56">
        <f t="shared" ca="1" si="85"/>
        <v>2.7213781299251106E-2</v>
      </c>
      <c r="AP247" t="str">
        <f t="shared" si="86"/>
        <v>Bridges &amp; Culverts_46082</v>
      </c>
      <c r="AQ247" t="str">
        <f t="shared" si="87"/>
        <v>Diesel_46082</v>
      </c>
    </row>
    <row r="248" spans="31:43" ht="15.6" thickTop="1" thickBot="1">
      <c r="AE248" s="59" t="str">
        <f t="shared" si="88"/>
        <v>Bridges &amp; Culverts</v>
      </c>
      <c r="AF248" s="57" t="s">
        <v>49</v>
      </c>
      <c r="AG248" s="60">
        <f t="shared" si="89"/>
        <v>46082</v>
      </c>
      <c r="AH248" s="79">
        <f ca="1">IFERROR(INDEX('Core Inputs Interface'!$1:$1048576,MATCH($AE248,'Core Inputs Interface'!$H:$H,0),MATCH($AG248,'Core Inputs Interface'!$17:$17,0)),"")</f>
        <v>914</v>
      </c>
      <c r="AI248" s="55">
        <f t="shared" si="79"/>
        <v>0</v>
      </c>
      <c r="AJ248" s="55">
        <f t="shared" si="75"/>
        <v>0.52451068102476561</v>
      </c>
      <c r="AK248" s="55">
        <f t="shared" si="76"/>
        <v>0.8</v>
      </c>
      <c r="AL248" s="55">
        <f t="shared" ca="1" si="80"/>
        <v>0.25</v>
      </c>
      <c r="AM248" s="65">
        <f t="shared" ca="1" si="77"/>
        <v>0</v>
      </c>
      <c r="AN248" s="66">
        <f t="shared" ca="1" si="78"/>
        <v>0</v>
      </c>
      <c r="AO248" s="56">
        <f t="shared" ca="1" si="85"/>
        <v>0</v>
      </c>
      <c r="AP248" t="str">
        <f t="shared" si="86"/>
        <v>Bridges &amp; Culverts_46082</v>
      </c>
      <c r="AQ248" t="str">
        <f t="shared" si="87"/>
        <v>Vehicles_46082</v>
      </c>
    </row>
    <row r="249" spans="31:43" ht="15.6" thickTop="1" thickBot="1">
      <c r="AE249" s="59" t="str">
        <f>AE248</f>
        <v>Bridges &amp; Culverts</v>
      </c>
      <c r="AF249" s="57" t="s">
        <v>51</v>
      </c>
      <c r="AG249" s="60">
        <f>AG248</f>
        <v>46082</v>
      </c>
      <c r="AH249" s="79">
        <f ca="1">IFERROR(INDEX('Core Inputs Interface'!$1:$1048576,MATCH($AE249,'Core Inputs Interface'!$H:$H,0),MATCH($AG249,'Core Inputs Interface'!$17:$17,0)),"")</f>
        <v>914</v>
      </c>
      <c r="AI249" s="55">
        <f t="shared" si="79"/>
        <v>0</v>
      </c>
      <c r="AJ249" s="55">
        <f t="shared" si="75"/>
        <v>0.39238740022595126</v>
      </c>
      <c r="AK249" s="55">
        <f t="shared" si="76"/>
        <v>0.8</v>
      </c>
      <c r="AL249" s="55">
        <f t="shared" ca="1" si="80"/>
        <v>0.25</v>
      </c>
      <c r="AM249" s="65">
        <f t="shared" ca="1" si="77"/>
        <v>0</v>
      </c>
      <c r="AN249" s="66">
        <f t="shared" ca="1" si="78"/>
        <v>0</v>
      </c>
      <c r="AO249" s="56">
        <f ca="1">IFERROR(AM249/AN249,0)</f>
        <v>0</v>
      </c>
      <c r="AP249" t="str">
        <f>_xlfn.TEXTJOIN("_",,$AE249,$AG249)</f>
        <v>Bridges &amp; Culverts_46082</v>
      </c>
      <c r="AQ249" t="str">
        <f>_xlfn.TEXTJOIN("_",,$AF249,$AG249)</f>
        <v>Machinery &amp; Equipment_46082</v>
      </c>
    </row>
    <row r="250" spans="31:43" ht="15.6" thickTop="1" thickBot="1">
      <c r="AE250" s="59" t="str">
        <f>AE249</f>
        <v>Bridges &amp; Culverts</v>
      </c>
      <c r="AF250" s="57" t="s">
        <v>53</v>
      </c>
      <c r="AG250" s="60">
        <f>AG249</f>
        <v>46082</v>
      </c>
      <c r="AH250" s="79">
        <f ca="1">IFERROR(INDEX('Core Inputs Interface'!$1:$1048576,MATCH($AE250,'Core Inputs Interface'!$H:$H,0),MATCH($AG250,'Core Inputs Interface'!$17:$17,0)),"")</f>
        <v>914</v>
      </c>
      <c r="AI250" s="55">
        <f t="shared" si="79"/>
        <v>0</v>
      </c>
      <c r="AJ250" s="55">
        <f t="shared" si="75"/>
        <v>0.15</v>
      </c>
      <c r="AK250" s="55">
        <f t="shared" si="76"/>
        <v>0.8</v>
      </c>
      <c r="AL250" s="55">
        <f t="shared" ca="1" si="80"/>
        <v>0.25</v>
      </c>
      <c r="AM250" s="65">
        <f t="shared" ca="1" si="77"/>
        <v>0</v>
      </c>
      <c r="AN250" s="66">
        <f t="shared" ca="1" si="78"/>
        <v>0</v>
      </c>
      <c r="AO250" s="56">
        <f ca="1">IFERROR(AM250/AN250,0)</f>
        <v>0</v>
      </c>
      <c r="AP250" t="str">
        <f>_xlfn.TEXTJOIN("_",,$AE250,$AG250)</f>
        <v>Bridges &amp; Culverts_46082</v>
      </c>
      <c r="AQ250" t="str">
        <f>_xlfn.TEXTJOIN("_",,$AF250,$AG250)</f>
        <v>Office Equipment &amp; IT_46082</v>
      </c>
    </row>
    <row r="251" spans="31:43" ht="15.6" thickTop="1" thickBot="1">
      <c r="AE251" s="59" t="str">
        <f>AE248</f>
        <v>Bridges &amp; Culverts</v>
      </c>
      <c r="AF251" s="59" t="str">
        <f t="shared" ref="AF251:AF270" si="90">AF229</f>
        <v>Labour</v>
      </c>
      <c r="AG251" s="61">
        <f>EDATE(AG229,12)</f>
        <v>46447</v>
      </c>
      <c r="AH251" s="79">
        <f ca="1">IFERROR(INDEX('Core Inputs Interface'!$1:$1048576,MATCH($AE251,'Core Inputs Interface'!$H:$H,0),MATCH($AG251,'Core Inputs Interface'!$17:$17,0)),"")</f>
        <v>960</v>
      </c>
      <c r="AI251" s="55">
        <f t="shared" si="79"/>
        <v>0.35</v>
      </c>
      <c r="AJ251" s="55" t="str">
        <f t="shared" si="75"/>
        <v>N/A</v>
      </c>
      <c r="AK251" s="55" t="str">
        <f t="shared" si="76"/>
        <v>N/A</v>
      </c>
      <c r="AL251" s="55" t="str">
        <f t="shared" ca="1" si="80"/>
        <v>N/A</v>
      </c>
      <c r="AM251" s="65">
        <f t="shared" ca="1" si="77"/>
        <v>0</v>
      </c>
      <c r="AN251" s="66">
        <f t="shared" ca="1" si="78"/>
        <v>336</v>
      </c>
      <c r="AO251" s="56">
        <f t="shared" ref="AO251:AO270" ca="1" si="91">IFERROR(AM251/AN251,0)</f>
        <v>0</v>
      </c>
      <c r="AP251" t="str">
        <f t="shared" si="86"/>
        <v>Bridges &amp; Culverts_46447</v>
      </c>
      <c r="AQ251" t="str">
        <f t="shared" si="87"/>
        <v>Labour_46447</v>
      </c>
    </row>
    <row r="252" spans="31:43" ht="15.6" thickTop="1" thickBot="1">
      <c r="AE252" s="59" t="str">
        <f t="shared" si="88"/>
        <v>Bridges &amp; Culverts</v>
      </c>
      <c r="AF252" s="59" t="str">
        <f t="shared" si="90"/>
        <v>Engineering design</v>
      </c>
      <c r="AG252" s="60">
        <f>AG251</f>
        <v>46447</v>
      </c>
      <c r="AH252" s="79">
        <f ca="1">IFERROR(INDEX('Core Inputs Interface'!$1:$1048576,MATCH($AE252,'Core Inputs Interface'!$H:$H,0),MATCH($AG252,'Core Inputs Interface'!$17:$17,0)),"")</f>
        <v>960</v>
      </c>
      <c r="AI252" s="55">
        <f t="shared" si="79"/>
        <v>0.2</v>
      </c>
      <c r="AJ252" s="55" t="str">
        <f t="shared" si="75"/>
        <v>N/A</v>
      </c>
      <c r="AK252" s="55" t="str">
        <f t="shared" si="76"/>
        <v>N/A</v>
      </c>
      <c r="AL252" s="55" t="str">
        <f t="shared" ca="1" si="80"/>
        <v>N/A</v>
      </c>
      <c r="AM252" s="65">
        <f t="shared" ca="1" si="77"/>
        <v>0</v>
      </c>
      <c r="AN252" s="66">
        <f t="shared" ca="1" si="78"/>
        <v>192</v>
      </c>
      <c r="AO252" s="56">
        <f t="shared" ca="1" si="91"/>
        <v>0</v>
      </c>
      <c r="AP252" t="str">
        <f t="shared" si="86"/>
        <v>Bridges &amp; Culverts_46447</v>
      </c>
      <c r="AQ252" t="str">
        <f t="shared" si="87"/>
        <v>Engineering design_46447</v>
      </c>
    </row>
    <row r="253" spans="31:43" ht="15.6" thickTop="1" thickBot="1">
      <c r="AE253" s="59" t="str">
        <f t="shared" si="88"/>
        <v>Bridges &amp; Culverts</v>
      </c>
      <c r="AF253" s="59" t="str">
        <f t="shared" si="90"/>
        <v>Reinforcing bar</v>
      </c>
      <c r="AG253" s="60">
        <f t="shared" ref="AG253:AG270" si="92">AG252</f>
        <v>46447</v>
      </c>
      <c r="AH253" s="79">
        <f ca="1">IFERROR(INDEX('Core Inputs Interface'!$1:$1048576,MATCH($AE253,'Core Inputs Interface'!$H:$H,0),MATCH($AG253,'Core Inputs Interface'!$17:$17,0)),"")</f>
        <v>960</v>
      </c>
      <c r="AI253" s="55">
        <f t="shared" si="79"/>
        <v>0.16</v>
      </c>
      <c r="AJ253" s="55">
        <f t="shared" si="75"/>
        <v>8.4066217963502693E-2</v>
      </c>
      <c r="AK253" s="55">
        <f t="shared" si="76"/>
        <v>0.6</v>
      </c>
      <c r="AL253" s="55">
        <f t="shared" ca="1" si="80"/>
        <v>0.25</v>
      </c>
      <c r="AM253" s="65">
        <f t="shared" ca="1" si="77"/>
        <v>1.9368856618791019</v>
      </c>
      <c r="AN253" s="66">
        <f t="shared" ca="1" si="78"/>
        <v>153.6</v>
      </c>
      <c r="AO253" s="56">
        <f t="shared" ca="1" si="91"/>
        <v>1.2609932694525403E-2</v>
      </c>
      <c r="AP253" t="str">
        <f t="shared" si="86"/>
        <v>Bridges &amp; Culverts_46447</v>
      </c>
      <c r="AQ253" t="str">
        <f t="shared" si="87"/>
        <v>Reinforcing bar_46447</v>
      </c>
    </row>
    <row r="254" spans="31:43" ht="15.6" thickTop="1" thickBot="1">
      <c r="AE254" s="59" t="str">
        <f t="shared" si="88"/>
        <v>Bridges &amp; Culverts</v>
      </c>
      <c r="AF254" s="59" t="str">
        <f t="shared" si="90"/>
        <v>Structural steel</v>
      </c>
      <c r="AG254" s="60">
        <f t="shared" si="92"/>
        <v>46447</v>
      </c>
      <c r="AH254" s="79">
        <f ca="1">IFERROR(INDEX('Core Inputs Interface'!$1:$1048576,MATCH($AE254,'Core Inputs Interface'!$H:$H,0),MATCH($AG254,'Core Inputs Interface'!$17:$17,0)),"")</f>
        <v>960</v>
      </c>
      <c r="AI254" s="55">
        <f t="shared" si="79"/>
        <v>0.16</v>
      </c>
      <c r="AJ254" s="55">
        <f t="shared" si="75"/>
        <v>0.52500514810102583</v>
      </c>
      <c r="AK254" s="55">
        <f t="shared" si="76"/>
        <v>0.6</v>
      </c>
      <c r="AL254" s="55">
        <f t="shared" ca="1" si="80"/>
        <v>0.25</v>
      </c>
      <c r="AM254" s="65">
        <f t="shared" ca="1" si="77"/>
        <v>12.096118612247635</v>
      </c>
      <c r="AN254" s="66">
        <f t="shared" ca="1" si="78"/>
        <v>153.6</v>
      </c>
      <c r="AO254" s="56">
        <f t="shared" ca="1" si="91"/>
        <v>7.8750772215153877E-2</v>
      </c>
      <c r="AP254" t="str">
        <f t="shared" si="86"/>
        <v>Bridges &amp; Culverts_46447</v>
      </c>
      <c r="AQ254" t="str">
        <f t="shared" si="87"/>
        <v>Structural steel_46447</v>
      </c>
    </row>
    <row r="255" spans="31:43" ht="15.6" thickTop="1" thickBot="1">
      <c r="AE255" s="59" t="str">
        <f t="shared" si="88"/>
        <v>Bridges &amp; Culverts</v>
      </c>
      <c r="AF255" s="59" t="str">
        <f t="shared" si="90"/>
        <v>Quarry Material</v>
      </c>
      <c r="AG255" s="60">
        <f t="shared" si="92"/>
        <v>46447</v>
      </c>
      <c r="AH255" s="79">
        <f ca="1">IFERROR(INDEX('Core Inputs Interface'!$1:$1048576,MATCH($AE255,'Core Inputs Interface'!$H:$H,0),MATCH($AG255,'Core Inputs Interface'!$17:$17,0)),"")</f>
        <v>960</v>
      </c>
      <c r="AI255" s="55">
        <f t="shared" si="79"/>
        <v>0</v>
      </c>
      <c r="AJ255" s="55">
        <f t="shared" si="75"/>
        <v>9.1004090556242881E-2</v>
      </c>
      <c r="AK255" s="55">
        <f t="shared" si="76"/>
        <v>0.6</v>
      </c>
      <c r="AL255" s="55">
        <f t="shared" ca="1" si="80"/>
        <v>0.25</v>
      </c>
      <c r="AM255" s="65">
        <f t="shared" ca="1" si="77"/>
        <v>0</v>
      </c>
      <c r="AN255" s="66">
        <f t="shared" ca="1" si="78"/>
        <v>0</v>
      </c>
      <c r="AO255" s="56">
        <f t="shared" ca="1" si="91"/>
        <v>0</v>
      </c>
      <c r="AP255" t="str">
        <f t="shared" si="86"/>
        <v>Bridges &amp; Culverts_46447</v>
      </c>
      <c r="AQ255" t="str">
        <f t="shared" si="87"/>
        <v>Quarry Material_46447</v>
      </c>
    </row>
    <row r="256" spans="31:43" ht="15.6" thickTop="1" thickBot="1">
      <c r="AE256" s="59" t="str">
        <f t="shared" si="88"/>
        <v>Bridges &amp; Culverts</v>
      </c>
      <c r="AF256" s="59" t="str">
        <f t="shared" si="90"/>
        <v>Concrete</v>
      </c>
      <c r="AG256" s="60">
        <f t="shared" si="92"/>
        <v>46447</v>
      </c>
      <c r="AH256" s="79">
        <f ca="1">IFERROR(INDEX('Core Inputs Interface'!$1:$1048576,MATCH($AE256,'Core Inputs Interface'!$H:$H,0),MATCH($AG256,'Core Inputs Interface'!$17:$17,0)),"")</f>
        <v>960</v>
      </c>
      <c r="AI256" s="55">
        <f t="shared" si="79"/>
        <v>0</v>
      </c>
      <c r="AJ256" s="55">
        <f t="shared" si="75"/>
        <v>1.1472584695084088E-2</v>
      </c>
      <c r="AK256" s="55">
        <f t="shared" si="76"/>
        <v>0.6</v>
      </c>
      <c r="AL256" s="55">
        <f t="shared" ca="1" si="80"/>
        <v>0.25</v>
      </c>
      <c r="AM256" s="65">
        <f t="shared" ca="1" si="77"/>
        <v>0</v>
      </c>
      <c r="AN256" s="66">
        <f t="shared" ca="1" si="78"/>
        <v>0</v>
      </c>
      <c r="AO256" s="56">
        <f t="shared" ca="1" si="91"/>
        <v>0</v>
      </c>
      <c r="AP256" t="str">
        <f t="shared" si="86"/>
        <v>Bridges &amp; Culverts_46447</v>
      </c>
      <c r="AQ256" t="str">
        <f t="shared" si="87"/>
        <v>Concrete_46447</v>
      </c>
    </row>
    <row r="257" spans="31:43" ht="15.6" thickTop="1" thickBot="1">
      <c r="AE257" s="59" t="str">
        <f t="shared" si="88"/>
        <v>Bridges &amp; Culverts</v>
      </c>
      <c r="AF257" s="59" t="str">
        <f t="shared" si="90"/>
        <v>Masonry</v>
      </c>
      <c r="AG257" s="60">
        <f t="shared" si="92"/>
        <v>46447</v>
      </c>
      <c r="AH257" s="79">
        <f ca="1">IFERROR(INDEX('Core Inputs Interface'!$1:$1048576,MATCH($AE257,'Core Inputs Interface'!$H:$H,0),MATCH($AG257,'Core Inputs Interface'!$17:$17,0)),"")</f>
        <v>960</v>
      </c>
      <c r="AI257" s="55">
        <f t="shared" si="79"/>
        <v>0</v>
      </c>
      <c r="AJ257" s="55">
        <f t="shared" si="75"/>
        <v>9.8410961434768088E-2</v>
      </c>
      <c r="AK257" s="55">
        <f t="shared" si="76"/>
        <v>0.6</v>
      </c>
      <c r="AL257" s="55">
        <f t="shared" ca="1" si="80"/>
        <v>0.25</v>
      </c>
      <c r="AM257" s="65">
        <f t="shared" ca="1" si="77"/>
        <v>0</v>
      </c>
      <c r="AN257" s="66">
        <f t="shared" ca="1" si="78"/>
        <v>0</v>
      </c>
      <c r="AO257" s="56">
        <f t="shared" ca="1" si="91"/>
        <v>0</v>
      </c>
      <c r="AP257" t="str">
        <f t="shared" si="86"/>
        <v>Bridges &amp; Culverts_46447</v>
      </c>
      <c r="AQ257" t="str">
        <f t="shared" si="87"/>
        <v>Masonry_46447</v>
      </c>
    </row>
    <row r="258" spans="31:43" ht="15.6" thickTop="1" thickBot="1">
      <c r="AE258" s="59" t="str">
        <f t="shared" si="88"/>
        <v>Bridges &amp; Culverts</v>
      </c>
      <c r="AF258" s="59" t="str">
        <f t="shared" si="90"/>
        <v>Wood</v>
      </c>
      <c r="AG258" s="60">
        <f t="shared" si="92"/>
        <v>46447</v>
      </c>
      <c r="AH258" s="79">
        <f ca="1">IFERROR(INDEX('Core Inputs Interface'!$1:$1048576,MATCH($AE258,'Core Inputs Interface'!$H:$H,0),MATCH($AG258,'Core Inputs Interface'!$17:$17,0)),"")</f>
        <v>960</v>
      </c>
      <c r="AI258" s="55">
        <f t="shared" si="79"/>
        <v>0</v>
      </c>
      <c r="AJ258" s="55">
        <f t="shared" si="75"/>
        <v>0.13840817436677436</v>
      </c>
      <c r="AK258" s="55">
        <f t="shared" si="76"/>
        <v>0.6</v>
      </c>
      <c r="AL258" s="55">
        <f t="shared" ca="1" si="80"/>
        <v>0.25</v>
      </c>
      <c r="AM258" s="65">
        <f t="shared" ca="1" si="77"/>
        <v>0</v>
      </c>
      <c r="AN258" s="66">
        <f t="shared" ca="1" si="78"/>
        <v>0</v>
      </c>
      <c r="AO258" s="56">
        <f t="shared" ca="1" si="91"/>
        <v>0</v>
      </c>
      <c r="AP258" t="str">
        <f t="shared" si="86"/>
        <v>Bridges &amp; Culverts_46447</v>
      </c>
      <c r="AQ258" t="str">
        <f t="shared" si="87"/>
        <v>Wood_46447</v>
      </c>
    </row>
    <row r="259" spans="31:43" ht="15.6" thickTop="1" thickBot="1">
      <c r="AE259" s="59" t="str">
        <f t="shared" si="88"/>
        <v>Bridges &amp; Culverts</v>
      </c>
      <c r="AF259" s="59" t="str">
        <f t="shared" si="90"/>
        <v>Electrical wire</v>
      </c>
      <c r="AG259" s="60">
        <f t="shared" si="92"/>
        <v>46447</v>
      </c>
      <c r="AH259" s="79">
        <f ca="1">IFERROR(INDEX('Core Inputs Interface'!$1:$1048576,MATCH($AE259,'Core Inputs Interface'!$H:$H,0),MATCH($AG259,'Core Inputs Interface'!$17:$17,0)),"")</f>
        <v>960</v>
      </c>
      <c r="AI259" s="55">
        <f t="shared" si="79"/>
        <v>0</v>
      </c>
      <c r="AJ259" s="55">
        <f t="shared" si="75"/>
        <v>0.80654510583379313</v>
      </c>
      <c r="AK259" s="55">
        <f t="shared" si="76"/>
        <v>0.6</v>
      </c>
      <c r="AL259" s="55">
        <f t="shared" ca="1" si="80"/>
        <v>0.25</v>
      </c>
      <c r="AM259" s="65">
        <f t="shared" ca="1" si="77"/>
        <v>0</v>
      </c>
      <c r="AN259" s="66">
        <f t="shared" ca="1" si="78"/>
        <v>0</v>
      </c>
      <c r="AO259" s="56">
        <f t="shared" ca="1" si="91"/>
        <v>0</v>
      </c>
      <c r="AP259" t="str">
        <f t="shared" si="86"/>
        <v>Bridges &amp; Culverts_46447</v>
      </c>
      <c r="AQ259" t="str">
        <f t="shared" si="87"/>
        <v>Electrical wire_46447</v>
      </c>
    </row>
    <row r="260" spans="31:43" ht="15.6" thickTop="1" thickBot="1">
      <c r="AE260" s="59" t="str">
        <f t="shared" si="88"/>
        <v>Bridges &amp; Culverts</v>
      </c>
      <c r="AF260" s="59" t="str">
        <f t="shared" si="90"/>
        <v>Glass</v>
      </c>
      <c r="AG260" s="60">
        <f t="shared" si="92"/>
        <v>46447</v>
      </c>
      <c r="AH260" s="79">
        <f ca="1">IFERROR(INDEX('Core Inputs Interface'!$1:$1048576,MATCH($AE260,'Core Inputs Interface'!$H:$H,0),MATCH($AG260,'Core Inputs Interface'!$17:$17,0)),"")</f>
        <v>960</v>
      </c>
      <c r="AI260" s="55">
        <f t="shared" si="79"/>
        <v>0</v>
      </c>
      <c r="AJ260" s="55">
        <f t="shared" si="75"/>
        <v>0.24210307145623419</v>
      </c>
      <c r="AK260" s="55">
        <f t="shared" si="76"/>
        <v>0.6</v>
      </c>
      <c r="AL260" s="55">
        <f t="shared" ca="1" si="80"/>
        <v>0.25</v>
      </c>
      <c r="AM260" s="65">
        <f t="shared" ca="1" si="77"/>
        <v>0</v>
      </c>
      <c r="AN260" s="66">
        <f t="shared" ca="1" si="78"/>
        <v>0</v>
      </c>
      <c r="AO260" s="56">
        <f t="shared" ca="1" si="91"/>
        <v>0</v>
      </c>
      <c r="AP260" t="str">
        <f t="shared" si="86"/>
        <v>Bridges &amp; Culverts_46447</v>
      </c>
      <c r="AQ260" t="str">
        <f t="shared" si="87"/>
        <v>Glass_46447</v>
      </c>
    </row>
    <row r="261" spans="31:43" ht="15.6" thickTop="1" thickBot="1">
      <c r="AE261" s="59" t="str">
        <f t="shared" si="88"/>
        <v>Bridges &amp; Culverts</v>
      </c>
      <c r="AF261" s="59" t="str">
        <f t="shared" si="90"/>
        <v>Roofing</v>
      </c>
      <c r="AG261" s="60">
        <f t="shared" si="92"/>
        <v>46447</v>
      </c>
      <c r="AH261" s="79">
        <f ca="1">IFERROR(INDEX('Core Inputs Interface'!$1:$1048576,MATCH($AE261,'Core Inputs Interface'!$H:$H,0),MATCH($AG261,'Core Inputs Interface'!$17:$17,0)),"")</f>
        <v>960</v>
      </c>
      <c r="AI261" s="55">
        <f t="shared" si="79"/>
        <v>0</v>
      </c>
      <c r="AJ261" s="55">
        <f t="shared" si="75"/>
        <v>2.4772729573316262E-4</v>
      </c>
      <c r="AK261" s="55">
        <f t="shared" si="76"/>
        <v>0.6</v>
      </c>
      <c r="AL261" s="55">
        <f t="shared" ca="1" si="80"/>
        <v>0.25</v>
      </c>
      <c r="AM261" s="65">
        <f t="shared" ca="1" si="77"/>
        <v>0</v>
      </c>
      <c r="AN261" s="66">
        <f t="shared" ca="1" si="78"/>
        <v>0</v>
      </c>
      <c r="AO261" s="56">
        <f t="shared" ca="1" si="91"/>
        <v>0</v>
      </c>
      <c r="AP261" t="str">
        <f t="shared" si="86"/>
        <v>Bridges &amp; Culverts_46447</v>
      </c>
      <c r="AQ261" t="str">
        <f t="shared" si="87"/>
        <v>Roofing_46447</v>
      </c>
    </row>
    <row r="262" spans="31:43" ht="15.6" thickTop="1" thickBot="1">
      <c r="AE262" s="59" t="str">
        <f t="shared" si="88"/>
        <v>Bridges &amp; Culverts</v>
      </c>
      <c r="AF262" s="59" t="str">
        <f t="shared" si="90"/>
        <v>Interior</v>
      </c>
      <c r="AG262" s="60">
        <f t="shared" si="92"/>
        <v>46447</v>
      </c>
      <c r="AH262" s="79">
        <f ca="1">IFERROR(INDEX('Core Inputs Interface'!$1:$1048576,MATCH($AE262,'Core Inputs Interface'!$H:$H,0),MATCH($AG262,'Core Inputs Interface'!$17:$17,0)),"")</f>
        <v>960</v>
      </c>
      <c r="AI262" s="55">
        <f t="shared" si="79"/>
        <v>0</v>
      </c>
      <c r="AJ262" s="55">
        <f t="shared" si="75"/>
        <v>0.54050345117059384</v>
      </c>
      <c r="AK262" s="55">
        <f t="shared" si="76"/>
        <v>0.6</v>
      </c>
      <c r="AL262" s="55">
        <f t="shared" ca="1" si="80"/>
        <v>0.25</v>
      </c>
      <c r="AM262" s="65">
        <f t="shared" ca="1" si="77"/>
        <v>0</v>
      </c>
      <c r="AN262" s="66">
        <f t="shared" ca="1" si="78"/>
        <v>0</v>
      </c>
      <c r="AO262" s="56">
        <f t="shared" ca="1" si="91"/>
        <v>0</v>
      </c>
      <c r="AP262" t="str">
        <f t="shared" si="86"/>
        <v>Bridges &amp; Culverts_46447</v>
      </c>
      <c r="AQ262" t="str">
        <f t="shared" si="87"/>
        <v>Interior_46447</v>
      </c>
    </row>
    <row r="263" spans="31:43" ht="15.6" thickTop="1" thickBot="1">
      <c r="AE263" s="59" t="str">
        <f t="shared" si="88"/>
        <v>Bridges &amp; Culverts</v>
      </c>
      <c r="AF263" s="59" t="str">
        <f t="shared" si="90"/>
        <v>Bitumen</v>
      </c>
      <c r="AG263" s="60">
        <f t="shared" si="92"/>
        <v>46447</v>
      </c>
      <c r="AH263" s="79">
        <f ca="1">IFERROR(INDEX('Core Inputs Interface'!$1:$1048576,MATCH($AE263,'Core Inputs Interface'!$H:$H,0),MATCH($AG263,'Core Inputs Interface'!$17:$17,0)),"")</f>
        <v>960</v>
      </c>
      <c r="AI263" s="55">
        <f t="shared" si="79"/>
        <v>0</v>
      </c>
      <c r="AJ263" s="55">
        <f t="shared" si="75"/>
        <v>0.14985905317691026</v>
      </c>
      <c r="AK263" s="55">
        <f t="shared" si="76"/>
        <v>0.6</v>
      </c>
      <c r="AL263" s="55">
        <f t="shared" ca="1" si="80"/>
        <v>0.25</v>
      </c>
      <c r="AM263" s="65">
        <f t="shared" ca="1" si="77"/>
        <v>0</v>
      </c>
      <c r="AN263" s="66">
        <f t="shared" ca="1" si="78"/>
        <v>0</v>
      </c>
      <c r="AO263" s="56">
        <f t="shared" ca="1" si="91"/>
        <v>0</v>
      </c>
      <c r="AP263" t="str">
        <f t="shared" si="86"/>
        <v>Bridges &amp; Culverts_46447</v>
      </c>
      <c r="AQ263" t="str">
        <f t="shared" si="87"/>
        <v>Bitumen_46447</v>
      </c>
    </row>
    <row r="264" spans="31:43" ht="15.6" thickTop="1" thickBot="1">
      <c r="AE264" s="59" t="str">
        <f t="shared" si="88"/>
        <v>Bridges &amp; Culverts</v>
      </c>
      <c r="AF264" s="59" t="str">
        <f t="shared" si="90"/>
        <v>Polyethylene pipes</v>
      </c>
      <c r="AG264" s="60">
        <f t="shared" si="92"/>
        <v>46447</v>
      </c>
      <c r="AH264" s="79">
        <f ca="1">IFERROR(INDEX('Core Inputs Interface'!$1:$1048576,MATCH($AE264,'Core Inputs Interface'!$H:$H,0),MATCH($AG264,'Core Inputs Interface'!$17:$17,0)),"")</f>
        <v>960</v>
      </c>
      <c r="AI264" s="55">
        <f t="shared" si="79"/>
        <v>0</v>
      </c>
      <c r="AJ264" s="55">
        <f t="shared" si="75"/>
        <v>0.12828361767948987</v>
      </c>
      <c r="AK264" s="55">
        <f t="shared" si="76"/>
        <v>0.6</v>
      </c>
      <c r="AL264" s="55">
        <f t="shared" ca="1" si="80"/>
        <v>0.25</v>
      </c>
      <c r="AM264" s="65">
        <f t="shared" ca="1" si="77"/>
        <v>0</v>
      </c>
      <c r="AN264" s="66">
        <f t="shared" ca="1" si="78"/>
        <v>0</v>
      </c>
      <c r="AO264" s="56">
        <f t="shared" ca="1" si="91"/>
        <v>0</v>
      </c>
      <c r="AP264" t="str">
        <f t="shared" si="86"/>
        <v>Bridges &amp; Culverts_46447</v>
      </c>
      <c r="AQ264" t="str">
        <f t="shared" si="87"/>
        <v>Polyethylene pipes_46447</v>
      </c>
    </row>
    <row r="265" spans="31:43" ht="15.6" thickTop="1" thickBot="1">
      <c r="AE265" s="59" t="str">
        <f t="shared" si="88"/>
        <v>Bridges &amp; Culverts</v>
      </c>
      <c r="AF265" s="59" t="str">
        <f t="shared" si="90"/>
        <v>Plant and equipment</v>
      </c>
      <c r="AG265" s="60">
        <f t="shared" si="92"/>
        <v>46447</v>
      </c>
      <c r="AH265" s="79">
        <f ca="1">IFERROR(INDEX('Core Inputs Interface'!$1:$1048576,MATCH($AE265,'Core Inputs Interface'!$H:$H,0),MATCH($AG265,'Core Inputs Interface'!$17:$17,0)),"")</f>
        <v>960</v>
      </c>
      <c r="AI265" s="55">
        <f t="shared" si="79"/>
        <v>0.08</v>
      </c>
      <c r="AJ265" s="55">
        <f t="shared" ref="AJ265:AJ328" si="93">IFERROR(INDEX($U:$U,MATCH($AF265,$T:$T,0)),0)</f>
        <v>0.31546495432215926</v>
      </c>
      <c r="AK265" s="55">
        <f t="shared" ref="AK265:AK328" si="94">IFERROR(INDEX($Y:$Y,MATCH($AF265,$X:$X,0)),0)</f>
        <v>0.8</v>
      </c>
      <c r="AL265" s="55">
        <f t="shared" ca="1" si="80"/>
        <v>0.25</v>
      </c>
      <c r="AM265" s="65">
        <f t="shared" ref="AM265:AM328" ca="1" si="95">IF(AL265="N/A",0,PRODUCT(AH265:AL265))</f>
        <v>4.8455416983883666</v>
      </c>
      <c r="AN265" s="66">
        <f t="shared" ref="AN265:AN328" ca="1" si="96">PRODUCT(AH265:AI265)</f>
        <v>76.8</v>
      </c>
      <c r="AO265" s="56">
        <f t="shared" ca="1" si="91"/>
        <v>6.3092990864431861E-2</v>
      </c>
      <c r="AP265" t="str">
        <f t="shared" si="86"/>
        <v>Bridges &amp; Culverts_46447</v>
      </c>
      <c r="AQ265" t="str">
        <f t="shared" si="87"/>
        <v>Plant and equipment_46447</v>
      </c>
    </row>
    <row r="266" spans="31:43" ht="15.6" thickTop="1" thickBot="1">
      <c r="AE266" s="59" t="str">
        <f t="shared" si="88"/>
        <v>Bridges &amp; Culverts</v>
      </c>
      <c r="AF266" s="59" t="str">
        <f t="shared" si="90"/>
        <v>Electrical equipment</v>
      </c>
      <c r="AG266" s="60">
        <f t="shared" si="92"/>
        <v>46447</v>
      </c>
      <c r="AH266" s="79">
        <f ca="1">IFERROR(INDEX('Core Inputs Interface'!$1:$1048576,MATCH($AE266,'Core Inputs Interface'!$H:$H,0),MATCH($AG266,'Core Inputs Interface'!$17:$17,0)),"")</f>
        <v>960</v>
      </c>
      <c r="AI266" s="55">
        <f t="shared" ref="AI266:AI329" si="97">IFERROR(INDEX($F$9:$Q$30,MATCH($AF266,$E$9:$E$30,0),MATCH($AE266,$F$8:$Q$8,0)),0)</f>
        <v>0</v>
      </c>
      <c r="AJ266" s="55">
        <f t="shared" si="93"/>
        <v>0.48556692694591386</v>
      </c>
      <c r="AK266" s="55">
        <f t="shared" si="94"/>
        <v>0.8</v>
      </c>
      <c r="AL266" s="55">
        <f t="shared" ref="AL266:AL329" ca="1" si="98">IFERROR(INDEX($Z$10:$AA$31,MATCH($AF266,$X$10:$X$31,0),MATCH($AG266,$Z$9:$AA$9,0)),0)</f>
        <v>0.25</v>
      </c>
      <c r="AM266" s="65">
        <f t="shared" ca="1" si="95"/>
        <v>0</v>
      </c>
      <c r="AN266" s="66">
        <f t="shared" ca="1" si="96"/>
        <v>0</v>
      </c>
      <c r="AO266" s="56">
        <f t="shared" ca="1" si="91"/>
        <v>0</v>
      </c>
      <c r="AP266" t="str">
        <f t="shared" si="86"/>
        <v>Bridges &amp; Culverts_46447</v>
      </c>
      <c r="AQ266" t="str">
        <f t="shared" si="87"/>
        <v>Electrical equipment_46447</v>
      </c>
    </row>
    <row r="267" spans="31:43" ht="15.6" thickTop="1" thickBot="1">
      <c r="AE267" s="59" t="str">
        <f t="shared" si="88"/>
        <v>Bridges &amp; Culverts</v>
      </c>
      <c r="AF267" s="59" t="str">
        <f t="shared" si="90"/>
        <v>Road equipment</v>
      </c>
      <c r="AG267" s="60">
        <f t="shared" si="92"/>
        <v>46447</v>
      </c>
      <c r="AH267" s="79">
        <f ca="1">IFERROR(INDEX('Core Inputs Interface'!$1:$1048576,MATCH($AE267,'Core Inputs Interface'!$H:$H,0),MATCH($AG267,'Core Inputs Interface'!$17:$17,0)),"")</f>
        <v>960</v>
      </c>
      <c r="AI267" s="55">
        <f t="shared" si="97"/>
        <v>0</v>
      </c>
      <c r="AJ267" s="55">
        <f t="shared" si="93"/>
        <v>0.23440288076987165</v>
      </c>
      <c r="AK267" s="55">
        <f t="shared" si="94"/>
        <v>0.8</v>
      </c>
      <c r="AL267" s="55">
        <f t="shared" ca="1" si="98"/>
        <v>0.25</v>
      </c>
      <c r="AM267" s="65">
        <f t="shared" ca="1" si="95"/>
        <v>0</v>
      </c>
      <c r="AN267" s="66">
        <f t="shared" ca="1" si="96"/>
        <v>0</v>
      </c>
      <c r="AO267" s="56">
        <f t="shared" ca="1" si="91"/>
        <v>0</v>
      </c>
      <c r="AP267" t="str">
        <f t="shared" si="86"/>
        <v>Bridges &amp; Culverts_46447</v>
      </c>
      <c r="AQ267" t="str">
        <f t="shared" si="87"/>
        <v>Road equipment_46447</v>
      </c>
    </row>
    <row r="268" spans="31:43" ht="15.6" thickTop="1" thickBot="1">
      <c r="AE268" s="59" t="str">
        <f t="shared" si="88"/>
        <v>Bridges &amp; Culverts</v>
      </c>
      <c r="AF268" s="59" t="str">
        <f t="shared" si="90"/>
        <v>Water equipment</v>
      </c>
      <c r="AG268" s="60">
        <f t="shared" si="92"/>
        <v>46447</v>
      </c>
      <c r="AH268" s="79">
        <f ca="1">IFERROR(INDEX('Core Inputs Interface'!$1:$1048576,MATCH($AE268,'Core Inputs Interface'!$H:$H,0),MATCH($AG268,'Core Inputs Interface'!$17:$17,0)),"")</f>
        <v>960</v>
      </c>
      <c r="AI268" s="55">
        <f t="shared" si="97"/>
        <v>0</v>
      </c>
      <c r="AJ268" s="55">
        <f t="shared" si="93"/>
        <v>0.53411483886586031</v>
      </c>
      <c r="AK268" s="55">
        <f t="shared" si="94"/>
        <v>0.8</v>
      </c>
      <c r="AL268" s="55">
        <f t="shared" ca="1" si="98"/>
        <v>0.25</v>
      </c>
      <c r="AM268" s="65">
        <f t="shared" ca="1" si="95"/>
        <v>0</v>
      </c>
      <c r="AN268" s="66">
        <f t="shared" ca="1" si="96"/>
        <v>0</v>
      </c>
      <c r="AO268" s="56">
        <f t="shared" ca="1" si="91"/>
        <v>0</v>
      </c>
      <c r="AP268" t="str">
        <f t="shared" si="86"/>
        <v>Bridges &amp; Culverts_46447</v>
      </c>
      <c r="AQ268" t="str">
        <f t="shared" si="87"/>
        <v>Water equipment_46447</v>
      </c>
    </row>
    <row r="269" spans="31:43" ht="15.6" thickTop="1" thickBot="1">
      <c r="AE269" s="59" t="str">
        <f t="shared" si="88"/>
        <v>Bridges &amp; Culverts</v>
      </c>
      <c r="AF269" s="59" t="str">
        <f t="shared" si="90"/>
        <v>Diesel</v>
      </c>
      <c r="AG269" s="60">
        <f t="shared" si="92"/>
        <v>46447</v>
      </c>
      <c r="AH269" s="79">
        <f ca="1">IFERROR(INDEX('Core Inputs Interface'!$1:$1048576,MATCH($AE269,'Core Inputs Interface'!$H:$H,0),MATCH($AG269,'Core Inputs Interface'!$17:$17,0)),"")</f>
        <v>960</v>
      </c>
      <c r="AI269" s="55">
        <f t="shared" si="97"/>
        <v>0.05</v>
      </c>
      <c r="AJ269" s="55">
        <f t="shared" si="93"/>
        <v>0.45356302165418505</v>
      </c>
      <c r="AK269" s="55">
        <f t="shared" si="94"/>
        <v>0.6</v>
      </c>
      <c r="AL269" s="55">
        <f t="shared" ca="1" si="98"/>
        <v>0.1</v>
      </c>
      <c r="AM269" s="65">
        <f t="shared" ca="1" si="95"/>
        <v>1.3062615023640529</v>
      </c>
      <c r="AN269" s="66">
        <f t="shared" ca="1" si="96"/>
        <v>48</v>
      </c>
      <c r="AO269" s="56">
        <f t="shared" ca="1" si="91"/>
        <v>2.7213781299251102E-2</v>
      </c>
      <c r="AP269" t="str">
        <f t="shared" si="86"/>
        <v>Bridges &amp; Culverts_46447</v>
      </c>
      <c r="AQ269" t="str">
        <f t="shared" si="87"/>
        <v>Diesel_46447</v>
      </c>
    </row>
    <row r="270" spans="31:43" ht="15.6" thickTop="1" thickBot="1">
      <c r="AE270" s="59" t="str">
        <f t="shared" si="88"/>
        <v>Bridges &amp; Culverts</v>
      </c>
      <c r="AF270" s="59" t="str">
        <f t="shared" si="90"/>
        <v>Vehicles</v>
      </c>
      <c r="AG270" s="60">
        <f t="shared" si="92"/>
        <v>46447</v>
      </c>
      <c r="AH270" s="79">
        <f ca="1">IFERROR(INDEX('Core Inputs Interface'!$1:$1048576,MATCH($AE270,'Core Inputs Interface'!$H:$H,0),MATCH($AG270,'Core Inputs Interface'!$17:$17,0)),"")</f>
        <v>960</v>
      </c>
      <c r="AI270" s="55">
        <f t="shared" si="97"/>
        <v>0</v>
      </c>
      <c r="AJ270" s="55">
        <f t="shared" si="93"/>
        <v>0.52451068102476561</v>
      </c>
      <c r="AK270" s="55">
        <f t="shared" si="94"/>
        <v>0.8</v>
      </c>
      <c r="AL270" s="55">
        <f t="shared" ca="1" si="98"/>
        <v>0.25</v>
      </c>
      <c r="AM270" s="65">
        <f t="shared" ca="1" si="95"/>
        <v>0</v>
      </c>
      <c r="AN270" s="66">
        <f t="shared" ca="1" si="96"/>
        <v>0</v>
      </c>
      <c r="AO270" s="56">
        <f t="shared" ca="1" si="91"/>
        <v>0</v>
      </c>
      <c r="AP270" t="str">
        <f t="shared" si="86"/>
        <v>Bridges &amp; Culverts_46447</v>
      </c>
      <c r="AQ270" t="str">
        <f t="shared" si="87"/>
        <v>Vehicles_46447</v>
      </c>
    </row>
    <row r="271" spans="31:43" ht="15.6" thickTop="1" thickBot="1">
      <c r="AE271" s="59" t="str">
        <f>AE270</f>
        <v>Bridges &amp; Culverts</v>
      </c>
      <c r="AF271" s="59" t="str">
        <f t="shared" ref="AF271:AF272" si="99">AF249</f>
        <v>Machinery &amp; Equipment</v>
      </c>
      <c r="AG271" s="60">
        <f>AG270</f>
        <v>46447</v>
      </c>
      <c r="AH271" s="79">
        <f ca="1">IFERROR(INDEX('Core Inputs Interface'!$1:$1048576,MATCH($AE271,'Core Inputs Interface'!$H:$H,0),MATCH($AG271,'Core Inputs Interface'!$17:$17,0)),"")</f>
        <v>960</v>
      </c>
      <c r="AI271" s="55">
        <f t="shared" si="97"/>
        <v>0</v>
      </c>
      <c r="AJ271" s="55">
        <f t="shared" si="93"/>
        <v>0.39238740022595126</v>
      </c>
      <c r="AK271" s="55">
        <f t="shared" si="94"/>
        <v>0.8</v>
      </c>
      <c r="AL271" s="55">
        <f t="shared" ca="1" si="98"/>
        <v>0.25</v>
      </c>
      <c r="AM271" s="65">
        <f t="shared" ca="1" si="95"/>
        <v>0</v>
      </c>
      <c r="AN271" s="66">
        <f t="shared" ca="1" si="96"/>
        <v>0</v>
      </c>
      <c r="AO271" s="56">
        <f ca="1">IFERROR(AM271/AN271,0)</f>
        <v>0</v>
      </c>
      <c r="AP271" t="str">
        <f>_xlfn.TEXTJOIN("_",,$AE271,$AG271)</f>
        <v>Bridges &amp; Culverts_46447</v>
      </c>
      <c r="AQ271" t="str">
        <f>_xlfn.TEXTJOIN("_",,$AF271,$AG271)</f>
        <v>Machinery &amp; Equipment_46447</v>
      </c>
    </row>
    <row r="272" spans="31:43" ht="15.6" thickTop="1" thickBot="1">
      <c r="AE272" s="59" t="str">
        <f>AE271</f>
        <v>Bridges &amp; Culverts</v>
      </c>
      <c r="AF272" s="59" t="str">
        <f t="shared" si="99"/>
        <v>Office Equipment &amp; IT</v>
      </c>
      <c r="AG272" s="60">
        <f>AG271</f>
        <v>46447</v>
      </c>
      <c r="AH272" s="79">
        <f ca="1">IFERROR(INDEX('Core Inputs Interface'!$1:$1048576,MATCH($AE272,'Core Inputs Interface'!$H:$H,0),MATCH($AG272,'Core Inputs Interface'!$17:$17,0)),"")</f>
        <v>960</v>
      </c>
      <c r="AI272" s="55">
        <f t="shared" si="97"/>
        <v>0</v>
      </c>
      <c r="AJ272" s="55">
        <f t="shared" si="93"/>
        <v>0.15</v>
      </c>
      <c r="AK272" s="55">
        <f t="shared" si="94"/>
        <v>0.8</v>
      </c>
      <c r="AL272" s="55">
        <f t="shared" ca="1" si="98"/>
        <v>0.25</v>
      </c>
      <c r="AM272" s="65">
        <f t="shared" ca="1" si="95"/>
        <v>0</v>
      </c>
      <c r="AN272" s="66">
        <f t="shared" ca="1" si="96"/>
        <v>0</v>
      </c>
      <c r="AO272" s="56">
        <f ca="1">IFERROR(AM272/AN272,0)</f>
        <v>0</v>
      </c>
      <c r="AP272" t="str">
        <f>_xlfn.TEXTJOIN("_",,$AE272,$AG272)</f>
        <v>Bridges &amp; Culverts_46447</v>
      </c>
      <c r="AQ272" t="str">
        <f>_xlfn.TEXTJOIN("_",,$AF272,$AG272)</f>
        <v>Office Equipment &amp; IT_46447</v>
      </c>
    </row>
    <row r="273" spans="30:43" ht="15.6" thickTop="1" thickBot="1">
      <c r="AD273">
        <f>AD229+1</f>
        <v>7</v>
      </c>
      <c r="AE273" s="57" t="str" cm="1">
        <f t="array" ref="AE273">INDEX($F$8:$Q$8,$AD273)</f>
        <v>Other Transport</v>
      </c>
      <c r="AF273" s="58" t="s">
        <v>66</v>
      </c>
      <c r="AG273" s="62">
        <v>46082</v>
      </c>
      <c r="AH273" s="79">
        <f ca="1">IFERROR(INDEX('Core Inputs Interface'!$1:$1048576,MATCH($AE273,'Core Inputs Interface'!$H:$H,0),MATCH($AG273,'Core Inputs Interface'!$17:$17,0)),0)</f>
        <v>0</v>
      </c>
      <c r="AI273" s="55">
        <f t="shared" si="97"/>
        <v>0.36249999999999999</v>
      </c>
      <c r="AJ273" s="55" t="str">
        <f t="shared" si="93"/>
        <v>N/A</v>
      </c>
      <c r="AK273" s="55" t="str">
        <f t="shared" si="94"/>
        <v>N/A</v>
      </c>
      <c r="AL273" s="55" t="str">
        <f t="shared" ca="1" si="98"/>
        <v>N/A</v>
      </c>
      <c r="AM273" s="65">
        <f t="shared" ca="1" si="95"/>
        <v>0</v>
      </c>
      <c r="AN273" s="66">
        <f ca="1">PRODUCT(AH273,AI273)</f>
        <v>0</v>
      </c>
      <c r="AO273" s="56">
        <f ca="1">IFERROR(AM273/AN273,0)</f>
        <v>0</v>
      </c>
      <c r="AP273" t="str">
        <f>_xlfn.TEXTJOIN("_",,$AE273,$AG273)</f>
        <v>Other Transport_46082</v>
      </c>
      <c r="AQ273" t="str">
        <f>_xlfn.TEXTJOIN("_",,$AF273,$AG273)</f>
        <v>Labour_46082</v>
      </c>
    </row>
    <row r="274" spans="30:43" ht="15.6" thickTop="1" thickBot="1">
      <c r="AE274" s="59" t="str">
        <f>AE273</f>
        <v>Other Transport</v>
      </c>
      <c r="AF274" s="58" t="s">
        <v>67</v>
      </c>
      <c r="AG274" s="60">
        <f>AG273</f>
        <v>46082</v>
      </c>
      <c r="AH274" s="79">
        <f ca="1">IFERROR(INDEX('Core Inputs Interface'!$1:$1048576,MATCH($AE274,'Core Inputs Interface'!$H:$H,0),MATCH($AG274,'Core Inputs Interface'!$17:$17,0)),0)</f>
        <v>0</v>
      </c>
      <c r="AI274" s="55">
        <f t="shared" si="97"/>
        <v>0.2</v>
      </c>
      <c r="AJ274" s="55" t="str">
        <f t="shared" si="93"/>
        <v>N/A</v>
      </c>
      <c r="AK274" s="55" t="str">
        <f t="shared" si="94"/>
        <v>N/A</v>
      </c>
      <c r="AL274" s="55" t="str">
        <f t="shared" ca="1" si="98"/>
        <v>N/A</v>
      </c>
      <c r="AM274" s="65">
        <f t="shared" ca="1" si="95"/>
        <v>0</v>
      </c>
      <c r="AN274" s="66">
        <f t="shared" ca="1" si="96"/>
        <v>0</v>
      </c>
      <c r="AO274" s="56">
        <f t="shared" ref="AO274:AO292" ca="1" si="100">IFERROR(AM274/AN274,0)</f>
        <v>0</v>
      </c>
      <c r="AP274" t="str">
        <f t="shared" ref="AP274:AP314" si="101">_xlfn.TEXTJOIN("_",,$AE274,$AG274)</f>
        <v>Other Transport_46082</v>
      </c>
      <c r="AQ274" t="str">
        <f t="shared" ref="AQ274:AQ314" si="102">_xlfn.TEXTJOIN("_",,$AF274,$AG274)</f>
        <v>Engineering design_46082</v>
      </c>
    </row>
    <row r="275" spans="30:43" ht="15.6" thickTop="1" thickBot="1">
      <c r="AE275" s="59" t="str">
        <f t="shared" ref="AE275:AE314" si="103">AE274</f>
        <v>Other Transport</v>
      </c>
      <c r="AF275" s="58" t="s">
        <v>26</v>
      </c>
      <c r="AG275" s="60">
        <f t="shared" ref="AG275:AG292" si="104">AG274</f>
        <v>46082</v>
      </c>
      <c r="AH275" s="79">
        <f ca="1">IFERROR(INDEX('Core Inputs Interface'!$1:$1048576,MATCH($AE275,'Core Inputs Interface'!$H:$H,0),MATCH($AG275,'Core Inputs Interface'!$17:$17,0)),0)</f>
        <v>0</v>
      </c>
      <c r="AI275" s="55">
        <f t="shared" si="97"/>
        <v>9.2499999999999999E-2</v>
      </c>
      <c r="AJ275" s="55">
        <f t="shared" si="93"/>
        <v>8.4066217963502693E-2</v>
      </c>
      <c r="AK275" s="55">
        <f t="shared" si="94"/>
        <v>0.6</v>
      </c>
      <c r="AL275" s="55">
        <f t="shared" ca="1" si="98"/>
        <v>0.25</v>
      </c>
      <c r="AM275" s="65">
        <f t="shared" ca="1" si="95"/>
        <v>0</v>
      </c>
      <c r="AN275" s="66">
        <f t="shared" ca="1" si="96"/>
        <v>0</v>
      </c>
      <c r="AO275" s="56">
        <f t="shared" ca="1" si="100"/>
        <v>0</v>
      </c>
      <c r="AP275" t="str">
        <f t="shared" si="101"/>
        <v>Other Transport_46082</v>
      </c>
      <c r="AQ275" t="str">
        <f t="shared" si="102"/>
        <v>Reinforcing bar_46082</v>
      </c>
    </row>
    <row r="276" spans="30:43" ht="15.6" thickTop="1" thickBot="1">
      <c r="AE276" s="59" t="str">
        <f t="shared" si="103"/>
        <v>Other Transport</v>
      </c>
      <c r="AF276" s="58" t="s">
        <v>27</v>
      </c>
      <c r="AG276" s="60">
        <f t="shared" si="104"/>
        <v>46082</v>
      </c>
      <c r="AH276" s="79">
        <f ca="1">IFERROR(INDEX('Core Inputs Interface'!$1:$1048576,MATCH($AE276,'Core Inputs Interface'!$H:$H,0),MATCH($AG276,'Core Inputs Interface'!$17:$17,0)),0)</f>
        <v>0</v>
      </c>
      <c r="AI276" s="55">
        <f t="shared" si="97"/>
        <v>0.08</v>
      </c>
      <c r="AJ276" s="55">
        <f t="shared" si="93"/>
        <v>0.52500514810102583</v>
      </c>
      <c r="AK276" s="55">
        <f t="shared" si="94"/>
        <v>0.6</v>
      </c>
      <c r="AL276" s="55">
        <f t="shared" ca="1" si="98"/>
        <v>0.25</v>
      </c>
      <c r="AM276" s="65">
        <f t="shared" ca="1" si="95"/>
        <v>0</v>
      </c>
      <c r="AN276" s="66">
        <f t="shared" ca="1" si="96"/>
        <v>0</v>
      </c>
      <c r="AO276" s="56">
        <f t="shared" ca="1" si="100"/>
        <v>0</v>
      </c>
      <c r="AP276" t="str">
        <f t="shared" si="101"/>
        <v>Other Transport_46082</v>
      </c>
      <c r="AQ276" t="str">
        <f t="shared" si="102"/>
        <v>Structural steel_46082</v>
      </c>
    </row>
    <row r="277" spans="30:43" ht="15.6" thickTop="1" thickBot="1">
      <c r="AE277" s="59" t="str">
        <f t="shared" si="103"/>
        <v>Other Transport</v>
      </c>
      <c r="AF277" s="58" t="s">
        <v>28</v>
      </c>
      <c r="AG277" s="60">
        <f t="shared" si="104"/>
        <v>46082</v>
      </c>
      <c r="AH277" s="79">
        <f ca="1">IFERROR(INDEX('Core Inputs Interface'!$1:$1048576,MATCH($AE277,'Core Inputs Interface'!$H:$H,0),MATCH($AG277,'Core Inputs Interface'!$17:$17,0)),0)</f>
        <v>0</v>
      </c>
      <c r="AI277" s="55">
        <f t="shared" si="97"/>
        <v>0.02</v>
      </c>
      <c r="AJ277" s="55">
        <f t="shared" si="93"/>
        <v>9.1004090556242881E-2</v>
      </c>
      <c r="AK277" s="55">
        <f t="shared" si="94"/>
        <v>0.6</v>
      </c>
      <c r="AL277" s="55">
        <f t="shared" ca="1" si="98"/>
        <v>0.25</v>
      </c>
      <c r="AM277" s="65">
        <f t="shared" ca="1" si="95"/>
        <v>0</v>
      </c>
      <c r="AN277" s="66">
        <f t="shared" ca="1" si="96"/>
        <v>0</v>
      </c>
      <c r="AO277" s="56">
        <f t="shared" ca="1" si="100"/>
        <v>0</v>
      </c>
      <c r="AP277" t="str">
        <f t="shared" si="101"/>
        <v>Other Transport_46082</v>
      </c>
      <c r="AQ277" t="str">
        <f t="shared" si="102"/>
        <v>Quarry Material_46082</v>
      </c>
    </row>
    <row r="278" spans="30:43" ht="15.6" thickTop="1" thickBot="1">
      <c r="AE278" s="59" t="str">
        <f t="shared" si="103"/>
        <v>Other Transport</v>
      </c>
      <c r="AF278" s="58" t="s">
        <v>30</v>
      </c>
      <c r="AG278" s="60">
        <f t="shared" si="104"/>
        <v>46082</v>
      </c>
      <c r="AH278" s="79">
        <f ca="1">IFERROR(INDEX('Core Inputs Interface'!$1:$1048576,MATCH($AE278,'Core Inputs Interface'!$H:$H,0),MATCH($AG278,'Core Inputs Interface'!$17:$17,0)),0)</f>
        <v>0</v>
      </c>
      <c r="AI278" s="55">
        <f t="shared" si="97"/>
        <v>2.5000000000000001E-2</v>
      </c>
      <c r="AJ278" s="55">
        <f t="shared" si="93"/>
        <v>1.1472584695084088E-2</v>
      </c>
      <c r="AK278" s="55">
        <f t="shared" si="94"/>
        <v>0.6</v>
      </c>
      <c r="AL278" s="55">
        <f t="shared" ca="1" si="98"/>
        <v>0.25</v>
      </c>
      <c r="AM278" s="65">
        <f t="shared" ca="1" si="95"/>
        <v>0</v>
      </c>
      <c r="AN278" s="66">
        <f t="shared" ca="1" si="96"/>
        <v>0</v>
      </c>
      <c r="AO278" s="56">
        <f t="shared" ca="1" si="100"/>
        <v>0</v>
      </c>
      <c r="AP278" t="str">
        <f t="shared" si="101"/>
        <v>Other Transport_46082</v>
      </c>
      <c r="AQ278" t="str">
        <f t="shared" si="102"/>
        <v>Concrete_46082</v>
      </c>
    </row>
    <row r="279" spans="30:43" ht="15.6" thickTop="1" thickBot="1">
      <c r="AE279" s="59" t="str">
        <f t="shared" si="103"/>
        <v>Other Transport</v>
      </c>
      <c r="AF279" s="57" t="s">
        <v>32</v>
      </c>
      <c r="AG279" s="60">
        <f t="shared" si="104"/>
        <v>46082</v>
      </c>
      <c r="AH279" s="79">
        <f ca="1">IFERROR(INDEX('Core Inputs Interface'!$1:$1048576,MATCH($AE279,'Core Inputs Interface'!$H:$H,0),MATCH($AG279,'Core Inputs Interface'!$17:$17,0)),0)</f>
        <v>0</v>
      </c>
      <c r="AI279" s="55">
        <f t="shared" si="97"/>
        <v>0</v>
      </c>
      <c r="AJ279" s="55">
        <f t="shared" si="93"/>
        <v>9.8410961434768088E-2</v>
      </c>
      <c r="AK279" s="55">
        <f t="shared" si="94"/>
        <v>0.6</v>
      </c>
      <c r="AL279" s="55">
        <f t="shared" ca="1" si="98"/>
        <v>0.25</v>
      </c>
      <c r="AM279" s="65">
        <f t="shared" ca="1" si="95"/>
        <v>0</v>
      </c>
      <c r="AN279" s="66">
        <f t="shared" ca="1" si="96"/>
        <v>0</v>
      </c>
      <c r="AO279" s="56">
        <f t="shared" ca="1" si="100"/>
        <v>0</v>
      </c>
      <c r="AP279" t="str">
        <f t="shared" si="101"/>
        <v>Other Transport_46082</v>
      </c>
      <c r="AQ279" t="str">
        <f t="shared" si="102"/>
        <v>Masonry_46082</v>
      </c>
    </row>
    <row r="280" spans="30:43" ht="15.6" thickTop="1" thickBot="1">
      <c r="AE280" s="59" t="str">
        <f t="shared" si="103"/>
        <v>Other Transport</v>
      </c>
      <c r="AF280" s="57" t="s">
        <v>34</v>
      </c>
      <c r="AG280" s="60">
        <f t="shared" si="104"/>
        <v>46082</v>
      </c>
      <c r="AH280" s="79">
        <f ca="1">IFERROR(INDEX('Core Inputs Interface'!$1:$1048576,MATCH($AE280,'Core Inputs Interface'!$H:$H,0),MATCH($AG280,'Core Inputs Interface'!$17:$17,0)),0)</f>
        <v>0</v>
      </c>
      <c r="AI280" s="55">
        <f t="shared" si="97"/>
        <v>0</v>
      </c>
      <c r="AJ280" s="55">
        <f t="shared" si="93"/>
        <v>0.13840817436677436</v>
      </c>
      <c r="AK280" s="55">
        <f t="shared" si="94"/>
        <v>0.6</v>
      </c>
      <c r="AL280" s="55">
        <f t="shared" ca="1" si="98"/>
        <v>0.25</v>
      </c>
      <c r="AM280" s="65">
        <f t="shared" ca="1" si="95"/>
        <v>0</v>
      </c>
      <c r="AN280" s="66">
        <f t="shared" ca="1" si="96"/>
        <v>0</v>
      </c>
      <c r="AO280" s="56">
        <f t="shared" ca="1" si="100"/>
        <v>0</v>
      </c>
      <c r="AP280" t="str">
        <f t="shared" si="101"/>
        <v>Other Transport_46082</v>
      </c>
      <c r="AQ280" t="str">
        <f t="shared" si="102"/>
        <v>Wood_46082</v>
      </c>
    </row>
    <row r="281" spans="30:43" ht="15.6" thickTop="1" thickBot="1">
      <c r="AE281" s="59" t="str">
        <f t="shared" si="103"/>
        <v>Other Transport</v>
      </c>
      <c r="AF281" s="57" t="s">
        <v>36</v>
      </c>
      <c r="AG281" s="60">
        <f t="shared" si="104"/>
        <v>46082</v>
      </c>
      <c r="AH281" s="79">
        <f ca="1">IFERROR(INDEX('Core Inputs Interface'!$1:$1048576,MATCH($AE281,'Core Inputs Interface'!$H:$H,0),MATCH($AG281,'Core Inputs Interface'!$17:$17,0)),0)</f>
        <v>0</v>
      </c>
      <c r="AI281" s="55">
        <f t="shared" si="97"/>
        <v>0.01</v>
      </c>
      <c r="AJ281" s="55">
        <f t="shared" si="93"/>
        <v>0.80654510583379313</v>
      </c>
      <c r="AK281" s="55">
        <f t="shared" si="94"/>
        <v>0.6</v>
      </c>
      <c r="AL281" s="55">
        <f t="shared" ca="1" si="98"/>
        <v>0.25</v>
      </c>
      <c r="AM281" s="65">
        <f t="shared" ca="1" si="95"/>
        <v>0</v>
      </c>
      <c r="AN281" s="66">
        <f t="shared" ca="1" si="96"/>
        <v>0</v>
      </c>
      <c r="AO281" s="56">
        <f t="shared" ca="1" si="100"/>
        <v>0</v>
      </c>
      <c r="AP281" t="str">
        <f t="shared" si="101"/>
        <v>Other Transport_46082</v>
      </c>
      <c r="AQ281" t="str">
        <f t="shared" si="102"/>
        <v>Electrical wire_46082</v>
      </c>
    </row>
    <row r="282" spans="30:43" ht="15.6" thickTop="1" thickBot="1">
      <c r="AE282" s="59" t="str">
        <f t="shared" si="103"/>
        <v>Other Transport</v>
      </c>
      <c r="AF282" s="57" t="s">
        <v>38</v>
      </c>
      <c r="AG282" s="60">
        <f t="shared" si="104"/>
        <v>46082</v>
      </c>
      <c r="AH282" s="79">
        <f ca="1">IFERROR(INDEX('Core Inputs Interface'!$1:$1048576,MATCH($AE282,'Core Inputs Interface'!$H:$H,0),MATCH($AG282,'Core Inputs Interface'!$17:$17,0)),0)</f>
        <v>0</v>
      </c>
      <c r="AI282" s="55">
        <f t="shared" si="97"/>
        <v>0</v>
      </c>
      <c r="AJ282" s="55">
        <f t="shared" si="93"/>
        <v>0.24210307145623419</v>
      </c>
      <c r="AK282" s="55">
        <f t="shared" si="94"/>
        <v>0.6</v>
      </c>
      <c r="AL282" s="55">
        <f t="shared" ca="1" si="98"/>
        <v>0.25</v>
      </c>
      <c r="AM282" s="65">
        <f t="shared" ca="1" si="95"/>
        <v>0</v>
      </c>
      <c r="AN282" s="66">
        <f t="shared" ca="1" si="96"/>
        <v>0</v>
      </c>
      <c r="AO282" s="56">
        <f t="shared" ca="1" si="100"/>
        <v>0</v>
      </c>
      <c r="AP282" t="str">
        <f t="shared" si="101"/>
        <v>Other Transport_46082</v>
      </c>
      <c r="AQ282" t="str">
        <f t="shared" si="102"/>
        <v>Glass_46082</v>
      </c>
    </row>
    <row r="283" spans="30:43" ht="15.6" thickTop="1" thickBot="1">
      <c r="AE283" s="59" t="str">
        <f t="shared" si="103"/>
        <v>Other Transport</v>
      </c>
      <c r="AF283" s="57" t="s">
        <v>40</v>
      </c>
      <c r="AG283" s="60">
        <f t="shared" si="104"/>
        <v>46082</v>
      </c>
      <c r="AH283" s="79">
        <f ca="1">IFERROR(INDEX('Core Inputs Interface'!$1:$1048576,MATCH($AE283,'Core Inputs Interface'!$H:$H,0),MATCH($AG283,'Core Inputs Interface'!$17:$17,0)),0)</f>
        <v>0</v>
      </c>
      <c r="AI283" s="55">
        <f t="shared" si="97"/>
        <v>0</v>
      </c>
      <c r="AJ283" s="55">
        <f t="shared" si="93"/>
        <v>2.4772729573316262E-4</v>
      </c>
      <c r="AK283" s="55">
        <f t="shared" si="94"/>
        <v>0.6</v>
      </c>
      <c r="AL283" s="55">
        <f t="shared" ca="1" si="98"/>
        <v>0.25</v>
      </c>
      <c r="AM283" s="65">
        <f t="shared" ca="1" si="95"/>
        <v>0</v>
      </c>
      <c r="AN283" s="66">
        <f t="shared" ca="1" si="96"/>
        <v>0</v>
      </c>
      <c r="AO283" s="56">
        <f t="shared" ca="1" si="100"/>
        <v>0</v>
      </c>
      <c r="AP283" t="str">
        <f t="shared" si="101"/>
        <v>Other Transport_46082</v>
      </c>
      <c r="AQ283" t="str">
        <f t="shared" si="102"/>
        <v>Roofing_46082</v>
      </c>
    </row>
    <row r="284" spans="30:43" ht="15.6" thickTop="1" thickBot="1">
      <c r="AE284" s="59" t="str">
        <f t="shared" si="103"/>
        <v>Other Transport</v>
      </c>
      <c r="AF284" s="57" t="s">
        <v>42</v>
      </c>
      <c r="AG284" s="60">
        <f t="shared" si="104"/>
        <v>46082</v>
      </c>
      <c r="AH284" s="79">
        <f ca="1">IFERROR(INDEX('Core Inputs Interface'!$1:$1048576,MATCH($AE284,'Core Inputs Interface'!$H:$H,0),MATCH($AG284,'Core Inputs Interface'!$17:$17,0)),0)</f>
        <v>0</v>
      </c>
      <c r="AI284" s="55">
        <f t="shared" si="97"/>
        <v>0</v>
      </c>
      <c r="AJ284" s="55">
        <f t="shared" si="93"/>
        <v>0.54050345117059384</v>
      </c>
      <c r="AK284" s="55">
        <f t="shared" si="94"/>
        <v>0.6</v>
      </c>
      <c r="AL284" s="55">
        <f t="shared" ca="1" si="98"/>
        <v>0.25</v>
      </c>
      <c r="AM284" s="65">
        <f t="shared" ca="1" si="95"/>
        <v>0</v>
      </c>
      <c r="AN284" s="66">
        <f t="shared" ca="1" si="96"/>
        <v>0</v>
      </c>
      <c r="AO284" s="56">
        <f t="shared" ca="1" si="100"/>
        <v>0</v>
      </c>
      <c r="AP284" t="str">
        <f t="shared" si="101"/>
        <v>Other Transport_46082</v>
      </c>
      <c r="AQ284" t="str">
        <f t="shared" si="102"/>
        <v>Interior_46082</v>
      </c>
    </row>
    <row r="285" spans="30:43" ht="15.6" thickTop="1" thickBot="1">
      <c r="AE285" s="59" t="str">
        <f t="shared" si="103"/>
        <v>Other Transport</v>
      </c>
      <c r="AF285" s="57" t="s">
        <v>44</v>
      </c>
      <c r="AG285" s="60">
        <f t="shared" si="104"/>
        <v>46082</v>
      </c>
      <c r="AH285" s="79">
        <f ca="1">IFERROR(INDEX('Core Inputs Interface'!$1:$1048576,MATCH($AE285,'Core Inputs Interface'!$H:$H,0),MATCH($AG285,'Core Inputs Interface'!$17:$17,0)),0)</f>
        <v>0</v>
      </c>
      <c r="AI285" s="55">
        <f t="shared" si="97"/>
        <v>6.7500000000000004E-2</v>
      </c>
      <c r="AJ285" s="55">
        <f t="shared" si="93"/>
        <v>0.14985905317691026</v>
      </c>
      <c r="AK285" s="55">
        <f t="shared" si="94"/>
        <v>0.6</v>
      </c>
      <c r="AL285" s="55">
        <f t="shared" ca="1" si="98"/>
        <v>0.25</v>
      </c>
      <c r="AM285" s="65">
        <f t="shared" ca="1" si="95"/>
        <v>0</v>
      </c>
      <c r="AN285" s="66">
        <f t="shared" ca="1" si="96"/>
        <v>0</v>
      </c>
      <c r="AO285" s="56">
        <f t="shared" ca="1" si="100"/>
        <v>0</v>
      </c>
      <c r="AP285" t="str">
        <f t="shared" si="101"/>
        <v>Other Transport_46082</v>
      </c>
      <c r="AQ285" t="str">
        <f t="shared" si="102"/>
        <v>Bitumen_46082</v>
      </c>
    </row>
    <row r="286" spans="30:43" ht="15.6" thickTop="1" thickBot="1">
      <c r="AE286" s="59" t="str">
        <f t="shared" si="103"/>
        <v>Other Transport</v>
      </c>
      <c r="AF286" s="57" t="s">
        <v>46</v>
      </c>
      <c r="AG286" s="60">
        <f t="shared" si="104"/>
        <v>46082</v>
      </c>
      <c r="AH286" s="79">
        <f ca="1">IFERROR(INDEX('Core Inputs Interface'!$1:$1048576,MATCH($AE286,'Core Inputs Interface'!$H:$H,0),MATCH($AG286,'Core Inputs Interface'!$17:$17,0)),0)</f>
        <v>0</v>
      </c>
      <c r="AI286" s="55">
        <f t="shared" si="97"/>
        <v>0</v>
      </c>
      <c r="AJ286" s="55">
        <f t="shared" si="93"/>
        <v>0.12828361767948987</v>
      </c>
      <c r="AK286" s="55">
        <f t="shared" si="94"/>
        <v>0.6</v>
      </c>
      <c r="AL286" s="55">
        <f t="shared" ca="1" si="98"/>
        <v>0.25</v>
      </c>
      <c r="AM286" s="65">
        <f t="shared" ca="1" si="95"/>
        <v>0</v>
      </c>
      <c r="AN286" s="66">
        <f t="shared" ca="1" si="96"/>
        <v>0</v>
      </c>
      <c r="AO286" s="56">
        <f t="shared" ca="1" si="100"/>
        <v>0</v>
      </c>
      <c r="AP286" t="str">
        <f t="shared" si="101"/>
        <v>Other Transport_46082</v>
      </c>
      <c r="AQ286" t="str">
        <f t="shared" si="102"/>
        <v>Polyethylene pipes_46082</v>
      </c>
    </row>
    <row r="287" spans="30:43" ht="15.6" thickTop="1" thickBot="1">
      <c r="AE287" s="59" t="str">
        <f t="shared" si="103"/>
        <v>Other Transport</v>
      </c>
      <c r="AF287" s="57" t="s">
        <v>48</v>
      </c>
      <c r="AG287" s="60">
        <f t="shared" si="104"/>
        <v>46082</v>
      </c>
      <c r="AH287" s="79">
        <f ca="1">IFERROR(INDEX('Core Inputs Interface'!$1:$1048576,MATCH($AE287,'Core Inputs Interface'!$H:$H,0),MATCH($AG287,'Core Inputs Interface'!$17:$17,0)),0)</f>
        <v>0</v>
      </c>
      <c r="AI287" s="55">
        <f t="shared" si="97"/>
        <v>7.7499999999999999E-2</v>
      </c>
      <c r="AJ287" s="55">
        <f t="shared" si="93"/>
        <v>0.31546495432215926</v>
      </c>
      <c r="AK287" s="55">
        <f t="shared" si="94"/>
        <v>0.8</v>
      </c>
      <c r="AL287" s="55">
        <f t="shared" ca="1" si="98"/>
        <v>0.25</v>
      </c>
      <c r="AM287" s="65">
        <f t="shared" ca="1" si="95"/>
        <v>0</v>
      </c>
      <c r="AN287" s="66">
        <f t="shared" ca="1" si="96"/>
        <v>0</v>
      </c>
      <c r="AO287" s="56">
        <f t="shared" ca="1" si="100"/>
        <v>0</v>
      </c>
      <c r="AP287" t="str">
        <f t="shared" si="101"/>
        <v>Other Transport_46082</v>
      </c>
      <c r="AQ287" t="str">
        <f t="shared" si="102"/>
        <v>Plant and equipment_46082</v>
      </c>
    </row>
    <row r="288" spans="30:43" ht="15.6" thickTop="1" thickBot="1">
      <c r="AE288" s="59" t="str">
        <f t="shared" si="103"/>
        <v>Other Transport</v>
      </c>
      <c r="AF288" s="57" t="s">
        <v>50</v>
      </c>
      <c r="AG288" s="60">
        <f t="shared" si="104"/>
        <v>46082</v>
      </c>
      <c r="AH288" s="79">
        <f ca="1">IFERROR(INDEX('Core Inputs Interface'!$1:$1048576,MATCH($AE288,'Core Inputs Interface'!$H:$H,0),MATCH($AG288,'Core Inputs Interface'!$17:$17,0)),0)</f>
        <v>0</v>
      </c>
      <c r="AI288" s="55">
        <f t="shared" si="97"/>
        <v>0</v>
      </c>
      <c r="AJ288" s="55">
        <f t="shared" si="93"/>
        <v>0.48556692694591386</v>
      </c>
      <c r="AK288" s="55">
        <f t="shared" si="94"/>
        <v>0.8</v>
      </c>
      <c r="AL288" s="55">
        <f t="shared" ca="1" si="98"/>
        <v>0.25</v>
      </c>
      <c r="AM288" s="65">
        <f t="shared" ca="1" si="95"/>
        <v>0</v>
      </c>
      <c r="AN288" s="66">
        <f t="shared" ca="1" si="96"/>
        <v>0</v>
      </c>
      <c r="AO288" s="56">
        <f t="shared" ca="1" si="100"/>
        <v>0</v>
      </c>
      <c r="AP288" t="str">
        <f t="shared" si="101"/>
        <v>Other Transport_46082</v>
      </c>
      <c r="AQ288" t="str">
        <f t="shared" si="102"/>
        <v>Electrical equipment_46082</v>
      </c>
    </row>
    <row r="289" spans="31:43" ht="15.6" thickTop="1" thickBot="1">
      <c r="AE289" s="59" t="str">
        <f t="shared" si="103"/>
        <v>Other Transport</v>
      </c>
      <c r="AF289" s="57" t="s">
        <v>52</v>
      </c>
      <c r="AG289" s="60">
        <f t="shared" si="104"/>
        <v>46082</v>
      </c>
      <c r="AH289" s="79">
        <f ca="1">IFERROR(INDEX('Core Inputs Interface'!$1:$1048576,MATCH($AE289,'Core Inputs Interface'!$H:$H,0),MATCH($AG289,'Core Inputs Interface'!$17:$17,0)),0)</f>
        <v>0</v>
      </c>
      <c r="AI289" s="55">
        <f t="shared" si="97"/>
        <v>0.01</v>
      </c>
      <c r="AJ289" s="55">
        <f t="shared" si="93"/>
        <v>0.23440288076987165</v>
      </c>
      <c r="AK289" s="55">
        <f t="shared" si="94"/>
        <v>0.8</v>
      </c>
      <c r="AL289" s="55">
        <f t="shared" ca="1" si="98"/>
        <v>0.25</v>
      </c>
      <c r="AM289" s="65">
        <f t="shared" ca="1" si="95"/>
        <v>0</v>
      </c>
      <c r="AN289" s="66">
        <f t="shared" ca="1" si="96"/>
        <v>0</v>
      </c>
      <c r="AO289" s="56">
        <f t="shared" ca="1" si="100"/>
        <v>0</v>
      </c>
      <c r="AP289" t="str">
        <f t="shared" si="101"/>
        <v>Other Transport_46082</v>
      </c>
      <c r="AQ289" t="str">
        <f t="shared" si="102"/>
        <v>Road equipment_46082</v>
      </c>
    </row>
    <row r="290" spans="31:43" ht="15.6" thickTop="1" thickBot="1">
      <c r="AE290" s="59" t="str">
        <f t="shared" si="103"/>
        <v>Other Transport</v>
      </c>
      <c r="AF290" s="57" t="s">
        <v>54</v>
      </c>
      <c r="AG290" s="60">
        <f t="shared" si="104"/>
        <v>46082</v>
      </c>
      <c r="AH290" s="79">
        <f ca="1">IFERROR(INDEX('Core Inputs Interface'!$1:$1048576,MATCH($AE290,'Core Inputs Interface'!$H:$H,0),MATCH($AG290,'Core Inputs Interface'!$17:$17,0)),0)</f>
        <v>0</v>
      </c>
      <c r="AI290" s="55">
        <f t="shared" si="97"/>
        <v>0</v>
      </c>
      <c r="AJ290" s="55">
        <f t="shared" si="93"/>
        <v>0.53411483886586031</v>
      </c>
      <c r="AK290" s="55">
        <f t="shared" si="94"/>
        <v>0.8</v>
      </c>
      <c r="AL290" s="55">
        <f t="shared" ca="1" si="98"/>
        <v>0.25</v>
      </c>
      <c r="AM290" s="65">
        <f t="shared" ca="1" si="95"/>
        <v>0</v>
      </c>
      <c r="AN290" s="66">
        <f t="shared" ca="1" si="96"/>
        <v>0</v>
      </c>
      <c r="AO290" s="56">
        <f t="shared" ca="1" si="100"/>
        <v>0</v>
      </c>
      <c r="AP290" t="str">
        <f t="shared" si="101"/>
        <v>Other Transport_46082</v>
      </c>
      <c r="AQ290" t="str">
        <f t="shared" si="102"/>
        <v>Water equipment_46082</v>
      </c>
    </row>
    <row r="291" spans="31:43" ht="15.6" thickTop="1" thickBot="1">
      <c r="AE291" s="59" t="str">
        <f t="shared" si="103"/>
        <v>Other Transport</v>
      </c>
      <c r="AF291" s="57" t="s">
        <v>56</v>
      </c>
      <c r="AG291" s="60">
        <f t="shared" si="104"/>
        <v>46082</v>
      </c>
      <c r="AH291" s="79">
        <f ca="1">IFERROR(INDEX('Core Inputs Interface'!$1:$1048576,MATCH($AE291,'Core Inputs Interface'!$H:$H,0),MATCH($AG291,'Core Inputs Interface'!$17:$17,0)),0)</f>
        <v>0</v>
      </c>
      <c r="AI291" s="55">
        <f t="shared" si="97"/>
        <v>5.5E-2</v>
      </c>
      <c r="AJ291" s="55">
        <f t="shared" si="93"/>
        <v>0.45356302165418505</v>
      </c>
      <c r="AK291" s="55">
        <f t="shared" si="94"/>
        <v>0.6</v>
      </c>
      <c r="AL291" s="55">
        <f t="shared" ca="1" si="98"/>
        <v>0.1</v>
      </c>
      <c r="AM291" s="65">
        <f t="shared" ca="1" si="95"/>
        <v>0</v>
      </c>
      <c r="AN291" s="66">
        <f t="shared" ca="1" si="96"/>
        <v>0</v>
      </c>
      <c r="AO291" s="56">
        <f t="shared" ca="1" si="100"/>
        <v>0</v>
      </c>
      <c r="AP291" t="str">
        <f t="shared" si="101"/>
        <v>Other Transport_46082</v>
      </c>
      <c r="AQ291" t="str">
        <f t="shared" si="102"/>
        <v>Diesel_46082</v>
      </c>
    </row>
    <row r="292" spans="31:43" ht="15.6" thickTop="1" thickBot="1">
      <c r="AE292" s="59" t="str">
        <f t="shared" si="103"/>
        <v>Other Transport</v>
      </c>
      <c r="AF292" s="57" t="s">
        <v>49</v>
      </c>
      <c r="AG292" s="60">
        <f t="shared" si="104"/>
        <v>46082</v>
      </c>
      <c r="AH292" s="79">
        <f ca="1">IFERROR(INDEX('Core Inputs Interface'!$1:$1048576,MATCH($AE292,'Core Inputs Interface'!$H:$H,0),MATCH($AG292,'Core Inputs Interface'!$17:$17,0)),0)</f>
        <v>0</v>
      </c>
      <c r="AI292" s="55">
        <f t="shared" si="97"/>
        <v>0</v>
      </c>
      <c r="AJ292" s="55">
        <f t="shared" si="93"/>
        <v>0.52451068102476561</v>
      </c>
      <c r="AK292" s="55">
        <f t="shared" si="94"/>
        <v>0.8</v>
      </c>
      <c r="AL292" s="55">
        <f t="shared" ca="1" si="98"/>
        <v>0.25</v>
      </c>
      <c r="AM292" s="65">
        <f t="shared" ca="1" si="95"/>
        <v>0</v>
      </c>
      <c r="AN292" s="66">
        <f t="shared" ca="1" si="96"/>
        <v>0</v>
      </c>
      <c r="AO292" s="56">
        <f t="shared" ca="1" si="100"/>
        <v>0</v>
      </c>
      <c r="AP292" t="str">
        <f t="shared" si="101"/>
        <v>Other Transport_46082</v>
      </c>
      <c r="AQ292" t="str">
        <f t="shared" si="102"/>
        <v>Vehicles_46082</v>
      </c>
    </row>
    <row r="293" spans="31:43" ht="15.6" thickTop="1" thickBot="1">
      <c r="AE293" s="59" t="str">
        <f>AE292</f>
        <v>Other Transport</v>
      </c>
      <c r="AF293" s="57" t="s">
        <v>51</v>
      </c>
      <c r="AG293" s="60">
        <f>AG292</f>
        <v>46082</v>
      </c>
      <c r="AH293" s="79">
        <f ca="1">IFERROR(INDEX('Core Inputs Interface'!$1:$1048576,MATCH($AE293,'Core Inputs Interface'!$H:$H,0),MATCH($AG293,'Core Inputs Interface'!$17:$17,0)),0)</f>
        <v>0</v>
      </c>
      <c r="AI293" s="55">
        <f t="shared" si="97"/>
        <v>0</v>
      </c>
      <c r="AJ293" s="55">
        <f t="shared" si="93"/>
        <v>0.39238740022595126</v>
      </c>
      <c r="AK293" s="55">
        <f t="shared" si="94"/>
        <v>0.8</v>
      </c>
      <c r="AL293" s="55">
        <f t="shared" ca="1" si="98"/>
        <v>0.25</v>
      </c>
      <c r="AM293" s="65">
        <f t="shared" ca="1" si="95"/>
        <v>0</v>
      </c>
      <c r="AN293" s="66">
        <f t="shared" ca="1" si="96"/>
        <v>0</v>
      </c>
      <c r="AO293" s="56">
        <f ca="1">IFERROR(AM293/AN293,0)</f>
        <v>0</v>
      </c>
      <c r="AP293" t="str">
        <f>_xlfn.TEXTJOIN("_",,$AE293,$AG293)</f>
        <v>Other Transport_46082</v>
      </c>
      <c r="AQ293" t="str">
        <f>_xlfn.TEXTJOIN("_",,$AF293,$AG293)</f>
        <v>Machinery &amp; Equipment_46082</v>
      </c>
    </row>
    <row r="294" spans="31:43" ht="15.6" thickTop="1" thickBot="1">
      <c r="AE294" s="59" t="str">
        <f>AE293</f>
        <v>Other Transport</v>
      </c>
      <c r="AF294" s="57" t="s">
        <v>53</v>
      </c>
      <c r="AG294" s="60">
        <f>AG293</f>
        <v>46082</v>
      </c>
      <c r="AH294" s="79">
        <f ca="1">IFERROR(INDEX('Core Inputs Interface'!$1:$1048576,MATCH($AE294,'Core Inputs Interface'!$H:$H,0),MATCH($AG294,'Core Inputs Interface'!$17:$17,0)),0)</f>
        <v>0</v>
      </c>
      <c r="AI294" s="55">
        <f t="shared" si="97"/>
        <v>0</v>
      </c>
      <c r="AJ294" s="55">
        <f t="shared" si="93"/>
        <v>0.15</v>
      </c>
      <c r="AK294" s="55">
        <f t="shared" si="94"/>
        <v>0.8</v>
      </c>
      <c r="AL294" s="55">
        <f t="shared" ca="1" si="98"/>
        <v>0.25</v>
      </c>
      <c r="AM294" s="65">
        <f t="shared" ca="1" si="95"/>
        <v>0</v>
      </c>
      <c r="AN294" s="66">
        <f t="shared" ca="1" si="96"/>
        <v>0</v>
      </c>
      <c r="AO294" s="56">
        <f ca="1">IFERROR(AM294/AN294,0)</f>
        <v>0</v>
      </c>
      <c r="AP294" t="str">
        <f>_xlfn.TEXTJOIN("_",,$AE294,$AG294)</f>
        <v>Other Transport_46082</v>
      </c>
      <c r="AQ294" t="str">
        <f>_xlfn.TEXTJOIN("_",,$AF294,$AG294)</f>
        <v>Office Equipment &amp; IT_46082</v>
      </c>
    </row>
    <row r="295" spans="31:43" ht="15.6" thickTop="1" thickBot="1">
      <c r="AE295" s="59" t="str">
        <f>AE292</f>
        <v>Other Transport</v>
      </c>
      <c r="AF295" s="59" t="str">
        <f t="shared" ref="AF295:AF314" si="105">AF273</f>
        <v>Labour</v>
      </c>
      <c r="AG295" s="61">
        <f>EDATE(AG273,12)</f>
        <v>46447</v>
      </c>
      <c r="AH295" s="79">
        <f ca="1">IFERROR(INDEX('Core Inputs Interface'!$1:$1048576,MATCH($AE295,'Core Inputs Interface'!$H:$H,0),MATCH($AG295,'Core Inputs Interface'!$17:$17,0)),0)</f>
        <v>0</v>
      </c>
      <c r="AI295" s="55">
        <f t="shared" si="97"/>
        <v>0.36249999999999999</v>
      </c>
      <c r="AJ295" s="55" t="str">
        <f t="shared" si="93"/>
        <v>N/A</v>
      </c>
      <c r="AK295" s="55" t="str">
        <f t="shared" si="94"/>
        <v>N/A</v>
      </c>
      <c r="AL295" s="55" t="str">
        <f t="shared" ca="1" si="98"/>
        <v>N/A</v>
      </c>
      <c r="AM295" s="65">
        <f t="shared" ca="1" si="95"/>
        <v>0</v>
      </c>
      <c r="AN295" s="66">
        <f t="shared" ca="1" si="96"/>
        <v>0</v>
      </c>
      <c r="AO295" s="56">
        <f t="shared" ref="AO295:AO314" ca="1" si="106">IFERROR(AM295/AN295,0)</f>
        <v>0</v>
      </c>
      <c r="AP295" t="str">
        <f t="shared" si="101"/>
        <v>Other Transport_46447</v>
      </c>
      <c r="AQ295" t="str">
        <f t="shared" si="102"/>
        <v>Labour_46447</v>
      </c>
    </row>
    <row r="296" spans="31:43" ht="15.6" thickTop="1" thickBot="1">
      <c r="AE296" s="59" t="str">
        <f t="shared" si="103"/>
        <v>Other Transport</v>
      </c>
      <c r="AF296" s="59" t="str">
        <f t="shared" si="105"/>
        <v>Engineering design</v>
      </c>
      <c r="AG296" s="60">
        <f>AG295</f>
        <v>46447</v>
      </c>
      <c r="AH296" s="79">
        <f ca="1">IFERROR(INDEX('Core Inputs Interface'!$1:$1048576,MATCH($AE296,'Core Inputs Interface'!$H:$H,0),MATCH($AG296,'Core Inputs Interface'!$17:$17,0)),0)</f>
        <v>0</v>
      </c>
      <c r="AI296" s="55">
        <f t="shared" si="97"/>
        <v>0.2</v>
      </c>
      <c r="AJ296" s="55" t="str">
        <f t="shared" si="93"/>
        <v>N/A</v>
      </c>
      <c r="AK296" s="55" t="str">
        <f t="shared" si="94"/>
        <v>N/A</v>
      </c>
      <c r="AL296" s="55" t="str">
        <f t="shared" ca="1" si="98"/>
        <v>N/A</v>
      </c>
      <c r="AM296" s="65">
        <f t="shared" ca="1" si="95"/>
        <v>0</v>
      </c>
      <c r="AN296" s="66">
        <f t="shared" ca="1" si="96"/>
        <v>0</v>
      </c>
      <c r="AO296" s="56">
        <f t="shared" ca="1" si="106"/>
        <v>0</v>
      </c>
      <c r="AP296" t="str">
        <f t="shared" si="101"/>
        <v>Other Transport_46447</v>
      </c>
      <c r="AQ296" t="str">
        <f t="shared" si="102"/>
        <v>Engineering design_46447</v>
      </c>
    </row>
    <row r="297" spans="31:43" ht="15.6" thickTop="1" thickBot="1">
      <c r="AE297" s="59" t="str">
        <f t="shared" si="103"/>
        <v>Other Transport</v>
      </c>
      <c r="AF297" s="59" t="str">
        <f t="shared" si="105"/>
        <v>Reinforcing bar</v>
      </c>
      <c r="AG297" s="60">
        <f t="shared" ref="AG297:AG314" si="107">AG296</f>
        <v>46447</v>
      </c>
      <c r="AH297" s="79">
        <f ca="1">IFERROR(INDEX('Core Inputs Interface'!$1:$1048576,MATCH($AE297,'Core Inputs Interface'!$H:$H,0),MATCH($AG297,'Core Inputs Interface'!$17:$17,0)),0)</f>
        <v>0</v>
      </c>
      <c r="AI297" s="55">
        <f t="shared" si="97"/>
        <v>9.2499999999999999E-2</v>
      </c>
      <c r="AJ297" s="55">
        <f t="shared" si="93"/>
        <v>8.4066217963502693E-2</v>
      </c>
      <c r="AK297" s="55">
        <f t="shared" si="94"/>
        <v>0.6</v>
      </c>
      <c r="AL297" s="55">
        <f t="shared" ca="1" si="98"/>
        <v>0.25</v>
      </c>
      <c r="AM297" s="65">
        <f t="shared" ca="1" si="95"/>
        <v>0</v>
      </c>
      <c r="AN297" s="66">
        <f t="shared" ca="1" si="96"/>
        <v>0</v>
      </c>
      <c r="AO297" s="56">
        <f t="shared" ca="1" si="106"/>
        <v>0</v>
      </c>
      <c r="AP297" t="str">
        <f t="shared" si="101"/>
        <v>Other Transport_46447</v>
      </c>
      <c r="AQ297" t="str">
        <f t="shared" si="102"/>
        <v>Reinforcing bar_46447</v>
      </c>
    </row>
    <row r="298" spans="31:43" ht="15.6" thickTop="1" thickBot="1">
      <c r="AE298" s="59" t="str">
        <f t="shared" si="103"/>
        <v>Other Transport</v>
      </c>
      <c r="AF298" s="59" t="str">
        <f t="shared" si="105"/>
        <v>Structural steel</v>
      </c>
      <c r="AG298" s="60">
        <f t="shared" si="107"/>
        <v>46447</v>
      </c>
      <c r="AH298" s="79">
        <f ca="1">IFERROR(INDEX('Core Inputs Interface'!$1:$1048576,MATCH($AE298,'Core Inputs Interface'!$H:$H,0),MATCH($AG298,'Core Inputs Interface'!$17:$17,0)),0)</f>
        <v>0</v>
      </c>
      <c r="AI298" s="55">
        <f t="shared" si="97"/>
        <v>0.08</v>
      </c>
      <c r="AJ298" s="55">
        <f t="shared" si="93"/>
        <v>0.52500514810102583</v>
      </c>
      <c r="AK298" s="55">
        <f t="shared" si="94"/>
        <v>0.6</v>
      </c>
      <c r="AL298" s="55">
        <f t="shared" ca="1" si="98"/>
        <v>0.25</v>
      </c>
      <c r="AM298" s="65">
        <f t="shared" ca="1" si="95"/>
        <v>0</v>
      </c>
      <c r="AN298" s="66">
        <f t="shared" ca="1" si="96"/>
        <v>0</v>
      </c>
      <c r="AO298" s="56">
        <f t="shared" ca="1" si="106"/>
        <v>0</v>
      </c>
      <c r="AP298" t="str">
        <f t="shared" si="101"/>
        <v>Other Transport_46447</v>
      </c>
      <c r="AQ298" t="str">
        <f t="shared" si="102"/>
        <v>Structural steel_46447</v>
      </c>
    </row>
    <row r="299" spans="31:43" ht="15.6" thickTop="1" thickBot="1">
      <c r="AE299" s="59" t="str">
        <f t="shared" si="103"/>
        <v>Other Transport</v>
      </c>
      <c r="AF299" s="59" t="str">
        <f t="shared" si="105"/>
        <v>Quarry Material</v>
      </c>
      <c r="AG299" s="60">
        <f t="shared" si="107"/>
        <v>46447</v>
      </c>
      <c r="AH299" s="79">
        <f ca="1">IFERROR(INDEX('Core Inputs Interface'!$1:$1048576,MATCH($AE299,'Core Inputs Interface'!$H:$H,0),MATCH($AG299,'Core Inputs Interface'!$17:$17,0)),0)</f>
        <v>0</v>
      </c>
      <c r="AI299" s="55">
        <f t="shared" si="97"/>
        <v>0.02</v>
      </c>
      <c r="AJ299" s="55">
        <f t="shared" si="93"/>
        <v>9.1004090556242881E-2</v>
      </c>
      <c r="AK299" s="55">
        <f t="shared" si="94"/>
        <v>0.6</v>
      </c>
      <c r="AL299" s="55">
        <f t="shared" ca="1" si="98"/>
        <v>0.25</v>
      </c>
      <c r="AM299" s="65">
        <f t="shared" ca="1" si="95"/>
        <v>0</v>
      </c>
      <c r="AN299" s="66">
        <f t="shared" ca="1" si="96"/>
        <v>0</v>
      </c>
      <c r="AO299" s="56">
        <f t="shared" ca="1" si="106"/>
        <v>0</v>
      </c>
      <c r="AP299" t="str">
        <f t="shared" si="101"/>
        <v>Other Transport_46447</v>
      </c>
      <c r="AQ299" t="str">
        <f t="shared" si="102"/>
        <v>Quarry Material_46447</v>
      </c>
    </row>
    <row r="300" spans="31:43" ht="15.6" thickTop="1" thickBot="1">
      <c r="AE300" s="59" t="str">
        <f t="shared" si="103"/>
        <v>Other Transport</v>
      </c>
      <c r="AF300" s="59" t="str">
        <f t="shared" si="105"/>
        <v>Concrete</v>
      </c>
      <c r="AG300" s="60">
        <f t="shared" si="107"/>
        <v>46447</v>
      </c>
      <c r="AH300" s="79">
        <f ca="1">IFERROR(INDEX('Core Inputs Interface'!$1:$1048576,MATCH($AE300,'Core Inputs Interface'!$H:$H,0),MATCH($AG300,'Core Inputs Interface'!$17:$17,0)),0)</f>
        <v>0</v>
      </c>
      <c r="AI300" s="55">
        <f t="shared" si="97"/>
        <v>2.5000000000000001E-2</v>
      </c>
      <c r="AJ300" s="55">
        <f t="shared" si="93"/>
        <v>1.1472584695084088E-2</v>
      </c>
      <c r="AK300" s="55">
        <f t="shared" si="94"/>
        <v>0.6</v>
      </c>
      <c r="AL300" s="55">
        <f t="shared" ca="1" si="98"/>
        <v>0.25</v>
      </c>
      <c r="AM300" s="65">
        <f t="shared" ca="1" si="95"/>
        <v>0</v>
      </c>
      <c r="AN300" s="66">
        <f t="shared" ca="1" si="96"/>
        <v>0</v>
      </c>
      <c r="AO300" s="56">
        <f t="shared" ca="1" si="106"/>
        <v>0</v>
      </c>
      <c r="AP300" t="str">
        <f t="shared" si="101"/>
        <v>Other Transport_46447</v>
      </c>
      <c r="AQ300" t="str">
        <f t="shared" si="102"/>
        <v>Concrete_46447</v>
      </c>
    </row>
    <row r="301" spans="31:43" ht="15.6" thickTop="1" thickBot="1">
      <c r="AE301" s="59" t="str">
        <f t="shared" si="103"/>
        <v>Other Transport</v>
      </c>
      <c r="AF301" s="59" t="str">
        <f t="shared" si="105"/>
        <v>Masonry</v>
      </c>
      <c r="AG301" s="60">
        <f t="shared" si="107"/>
        <v>46447</v>
      </c>
      <c r="AH301" s="79">
        <f ca="1">IFERROR(INDEX('Core Inputs Interface'!$1:$1048576,MATCH($AE301,'Core Inputs Interface'!$H:$H,0),MATCH($AG301,'Core Inputs Interface'!$17:$17,0)),0)</f>
        <v>0</v>
      </c>
      <c r="AI301" s="55">
        <f t="shared" si="97"/>
        <v>0</v>
      </c>
      <c r="AJ301" s="55">
        <f t="shared" si="93"/>
        <v>9.8410961434768088E-2</v>
      </c>
      <c r="AK301" s="55">
        <f t="shared" si="94"/>
        <v>0.6</v>
      </c>
      <c r="AL301" s="55">
        <f t="shared" ca="1" si="98"/>
        <v>0.25</v>
      </c>
      <c r="AM301" s="65">
        <f t="shared" ca="1" si="95"/>
        <v>0</v>
      </c>
      <c r="AN301" s="66">
        <f t="shared" ca="1" si="96"/>
        <v>0</v>
      </c>
      <c r="AO301" s="56">
        <f t="shared" ca="1" si="106"/>
        <v>0</v>
      </c>
      <c r="AP301" t="str">
        <f t="shared" si="101"/>
        <v>Other Transport_46447</v>
      </c>
      <c r="AQ301" t="str">
        <f t="shared" si="102"/>
        <v>Masonry_46447</v>
      </c>
    </row>
    <row r="302" spans="31:43" ht="15.6" thickTop="1" thickBot="1">
      <c r="AE302" s="59" t="str">
        <f t="shared" si="103"/>
        <v>Other Transport</v>
      </c>
      <c r="AF302" s="59" t="str">
        <f t="shared" si="105"/>
        <v>Wood</v>
      </c>
      <c r="AG302" s="60">
        <f t="shared" si="107"/>
        <v>46447</v>
      </c>
      <c r="AH302" s="79">
        <f ca="1">IFERROR(INDEX('Core Inputs Interface'!$1:$1048576,MATCH($AE302,'Core Inputs Interface'!$H:$H,0),MATCH($AG302,'Core Inputs Interface'!$17:$17,0)),0)</f>
        <v>0</v>
      </c>
      <c r="AI302" s="55">
        <f t="shared" si="97"/>
        <v>0</v>
      </c>
      <c r="AJ302" s="55">
        <f t="shared" si="93"/>
        <v>0.13840817436677436</v>
      </c>
      <c r="AK302" s="55">
        <f t="shared" si="94"/>
        <v>0.6</v>
      </c>
      <c r="AL302" s="55">
        <f t="shared" ca="1" si="98"/>
        <v>0.25</v>
      </c>
      <c r="AM302" s="65">
        <f t="shared" ca="1" si="95"/>
        <v>0</v>
      </c>
      <c r="AN302" s="66">
        <f t="shared" ca="1" si="96"/>
        <v>0</v>
      </c>
      <c r="AO302" s="56">
        <f t="shared" ca="1" si="106"/>
        <v>0</v>
      </c>
      <c r="AP302" t="str">
        <f t="shared" si="101"/>
        <v>Other Transport_46447</v>
      </c>
      <c r="AQ302" t="str">
        <f t="shared" si="102"/>
        <v>Wood_46447</v>
      </c>
    </row>
    <row r="303" spans="31:43" ht="15.6" thickTop="1" thickBot="1">
      <c r="AE303" s="59" t="str">
        <f t="shared" si="103"/>
        <v>Other Transport</v>
      </c>
      <c r="AF303" s="59" t="str">
        <f t="shared" si="105"/>
        <v>Electrical wire</v>
      </c>
      <c r="AG303" s="60">
        <f t="shared" si="107"/>
        <v>46447</v>
      </c>
      <c r="AH303" s="79">
        <f ca="1">IFERROR(INDEX('Core Inputs Interface'!$1:$1048576,MATCH($AE303,'Core Inputs Interface'!$H:$H,0),MATCH($AG303,'Core Inputs Interface'!$17:$17,0)),0)</f>
        <v>0</v>
      </c>
      <c r="AI303" s="55">
        <f t="shared" si="97"/>
        <v>0.01</v>
      </c>
      <c r="AJ303" s="55">
        <f t="shared" si="93"/>
        <v>0.80654510583379313</v>
      </c>
      <c r="AK303" s="55">
        <f t="shared" si="94"/>
        <v>0.6</v>
      </c>
      <c r="AL303" s="55">
        <f t="shared" ca="1" si="98"/>
        <v>0.25</v>
      </c>
      <c r="AM303" s="65">
        <f t="shared" ca="1" si="95"/>
        <v>0</v>
      </c>
      <c r="AN303" s="66">
        <f t="shared" ca="1" si="96"/>
        <v>0</v>
      </c>
      <c r="AO303" s="56">
        <f t="shared" ca="1" si="106"/>
        <v>0</v>
      </c>
      <c r="AP303" t="str">
        <f t="shared" si="101"/>
        <v>Other Transport_46447</v>
      </c>
      <c r="AQ303" t="str">
        <f t="shared" si="102"/>
        <v>Electrical wire_46447</v>
      </c>
    </row>
    <row r="304" spans="31:43" ht="15.6" thickTop="1" thickBot="1">
      <c r="AE304" s="59" t="str">
        <f t="shared" si="103"/>
        <v>Other Transport</v>
      </c>
      <c r="AF304" s="59" t="str">
        <f t="shared" si="105"/>
        <v>Glass</v>
      </c>
      <c r="AG304" s="60">
        <f t="shared" si="107"/>
        <v>46447</v>
      </c>
      <c r="AH304" s="79">
        <f ca="1">IFERROR(INDEX('Core Inputs Interface'!$1:$1048576,MATCH($AE304,'Core Inputs Interface'!$H:$H,0),MATCH($AG304,'Core Inputs Interface'!$17:$17,0)),0)</f>
        <v>0</v>
      </c>
      <c r="AI304" s="55">
        <f t="shared" si="97"/>
        <v>0</v>
      </c>
      <c r="AJ304" s="55">
        <f t="shared" si="93"/>
        <v>0.24210307145623419</v>
      </c>
      <c r="AK304" s="55">
        <f t="shared" si="94"/>
        <v>0.6</v>
      </c>
      <c r="AL304" s="55">
        <f t="shared" ca="1" si="98"/>
        <v>0.25</v>
      </c>
      <c r="AM304" s="65">
        <f t="shared" ca="1" si="95"/>
        <v>0</v>
      </c>
      <c r="AN304" s="66">
        <f t="shared" ca="1" si="96"/>
        <v>0</v>
      </c>
      <c r="AO304" s="56">
        <f t="shared" ca="1" si="106"/>
        <v>0</v>
      </c>
      <c r="AP304" t="str">
        <f t="shared" si="101"/>
        <v>Other Transport_46447</v>
      </c>
      <c r="AQ304" t="str">
        <f t="shared" si="102"/>
        <v>Glass_46447</v>
      </c>
    </row>
    <row r="305" spans="30:43" ht="15.6" thickTop="1" thickBot="1">
      <c r="AE305" s="59" t="str">
        <f t="shared" si="103"/>
        <v>Other Transport</v>
      </c>
      <c r="AF305" s="59" t="str">
        <f t="shared" si="105"/>
        <v>Roofing</v>
      </c>
      <c r="AG305" s="60">
        <f t="shared" si="107"/>
        <v>46447</v>
      </c>
      <c r="AH305" s="79">
        <f ca="1">IFERROR(INDEX('Core Inputs Interface'!$1:$1048576,MATCH($AE305,'Core Inputs Interface'!$H:$H,0),MATCH($AG305,'Core Inputs Interface'!$17:$17,0)),0)</f>
        <v>0</v>
      </c>
      <c r="AI305" s="55">
        <f t="shared" si="97"/>
        <v>0</v>
      </c>
      <c r="AJ305" s="55">
        <f t="shared" si="93"/>
        <v>2.4772729573316262E-4</v>
      </c>
      <c r="AK305" s="55">
        <f t="shared" si="94"/>
        <v>0.6</v>
      </c>
      <c r="AL305" s="55">
        <f t="shared" ca="1" si="98"/>
        <v>0.25</v>
      </c>
      <c r="AM305" s="65">
        <f t="shared" ca="1" si="95"/>
        <v>0</v>
      </c>
      <c r="AN305" s="66">
        <f t="shared" ca="1" si="96"/>
        <v>0</v>
      </c>
      <c r="AO305" s="56">
        <f t="shared" ca="1" si="106"/>
        <v>0</v>
      </c>
      <c r="AP305" t="str">
        <f t="shared" si="101"/>
        <v>Other Transport_46447</v>
      </c>
      <c r="AQ305" t="str">
        <f t="shared" si="102"/>
        <v>Roofing_46447</v>
      </c>
    </row>
    <row r="306" spans="30:43" ht="15.6" thickTop="1" thickBot="1">
      <c r="AE306" s="59" t="str">
        <f t="shared" si="103"/>
        <v>Other Transport</v>
      </c>
      <c r="AF306" s="59" t="str">
        <f t="shared" si="105"/>
        <v>Interior</v>
      </c>
      <c r="AG306" s="60">
        <f t="shared" si="107"/>
        <v>46447</v>
      </c>
      <c r="AH306" s="79">
        <f ca="1">IFERROR(INDEX('Core Inputs Interface'!$1:$1048576,MATCH($AE306,'Core Inputs Interface'!$H:$H,0),MATCH($AG306,'Core Inputs Interface'!$17:$17,0)),0)</f>
        <v>0</v>
      </c>
      <c r="AI306" s="55">
        <f t="shared" si="97"/>
        <v>0</v>
      </c>
      <c r="AJ306" s="55">
        <f t="shared" si="93"/>
        <v>0.54050345117059384</v>
      </c>
      <c r="AK306" s="55">
        <f t="shared" si="94"/>
        <v>0.6</v>
      </c>
      <c r="AL306" s="55">
        <f t="shared" ca="1" si="98"/>
        <v>0.25</v>
      </c>
      <c r="AM306" s="65">
        <f t="shared" ca="1" si="95"/>
        <v>0</v>
      </c>
      <c r="AN306" s="66">
        <f t="shared" ca="1" si="96"/>
        <v>0</v>
      </c>
      <c r="AO306" s="56">
        <f t="shared" ca="1" si="106"/>
        <v>0</v>
      </c>
      <c r="AP306" t="str">
        <f t="shared" si="101"/>
        <v>Other Transport_46447</v>
      </c>
      <c r="AQ306" t="str">
        <f t="shared" si="102"/>
        <v>Interior_46447</v>
      </c>
    </row>
    <row r="307" spans="30:43" ht="15.6" thickTop="1" thickBot="1">
      <c r="AE307" s="59" t="str">
        <f t="shared" si="103"/>
        <v>Other Transport</v>
      </c>
      <c r="AF307" s="59" t="str">
        <f t="shared" si="105"/>
        <v>Bitumen</v>
      </c>
      <c r="AG307" s="60">
        <f t="shared" si="107"/>
        <v>46447</v>
      </c>
      <c r="AH307" s="79">
        <f ca="1">IFERROR(INDEX('Core Inputs Interface'!$1:$1048576,MATCH($AE307,'Core Inputs Interface'!$H:$H,0),MATCH($AG307,'Core Inputs Interface'!$17:$17,0)),0)</f>
        <v>0</v>
      </c>
      <c r="AI307" s="55">
        <f t="shared" si="97"/>
        <v>6.7500000000000004E-2</v>
      </c>
      <c r="AJ307" s="55">
        <f t="shared" si="93"/>
        <v>0.14985905317691026</v>
      </c>
      <c r="AK307" s="55">
        <f t="shared" si="94"/>
        <v>0.6</v>
      </c>
      <c r="AL307" s="55">
        <f t="shared" ca="1" si="98"/>
        <v>0.25</v>
      </c>
      <c r="AM307" s="65">
        <f t="shared" ca="1" si="95"/>
        <v>0</v>
      </c>
      <c r="AN307" s="66">
        <f t="shared" ca="1" si="96"/>
        <v>0</v>
      </c>
      <c r="AO307" s="56">
        <f t="shared" ca="1" si="106"/>
        <v>0</v>
      </c>
      <c r="AP307" t="str">
        <f t="shared" si="101"/>
        <v>Other Transport_46447</v>
      </c>
      <c r="AQ307" t="str">
        <f t="shared" si="102"/>
        <v>Bitumen_46447</v>
      </c>
    </row>
    <row r="308" spans="30:43" ht="15.6" thickTop="1" thickBot="1">
      <c r="AE308" s="59" t="str">
        <f t="shared" si="103"/>
        <v>Other Transport</v>
      </c>
      <c r="AF308" s="59" t="str">
        <f t="shared" si="105"/>
        <v>Polyethylene pipes</v>
      </c>
      <c r="AG308" s="60">
        <f t="shared" si="107"/>
        <v>46447</v>
      </c>
      <c r="AH308" s="79">
        <f ca="1">IFERROR(INDEX('Core Inputs Interface'!$1:$1048576,MATCH($AE308,'Core Inputs Interface'!$H:$H,0),MATCH($AG308,'Core Inputs Interface'!$17:$17,0)),0)</f>
        <v>0</v>
      </c>
      <c r="AI308" s="55">
        <f t="shared" si="97"/>
        <v>0</v>
      </c>
      <c r="AJ308" s="55">
        <f t="shared" si="93"/>
        <v>0.12828361767948987</v>
      </c>
      <c r="AK308" s="55">
        <f t="shared" si="94"/>
        <v>0.6</v>
      </c>
      <c r="AL308" s="55">
        <f t="shared" ca="1" si="98"/>
        <v>0.25</v>
      </c>
      <c r="AM308" s="65">
        <f t="shared" ca="1" si="95"/>
        <v>0</v>
      </c>
      <c r="AN308" s="66">
        <f t="shared" ca="1" si="96"/>
        <v>0</v>
      </c>
      <c r="AO308" s="56">
        <f t="shared" ca="1" si="106"/>
        <v>0</v>
      </c>
      <c r="AP308" t="str">
        <f t="shared" si="101"/>
        <v>Other Transport_46447</v>
      </c>
      <c r="AQ308" t="str">
        <f t="shared" si="102"/>
        <v>Polyethylene pipes_46447</v>
      </c>
    </row>
    <row r="309" spans="30:43" ht="15.6" thickTop="1" thickBot="1">
      <c r="AE309" s="59" t="str">
        <f t="shared" si="103"/>
        <v>Other Transport</v>
      </c>
      <c r="AF309" s="59" t="str">
        <f t="shared" si="105"/>
        <v>Plant and equipment</v>
      </c>
      <c r="AG309" s="60">
        <f t="shared" si="107"/>
        <v>46447</v>
      </c>
      <c r="AH309" s="79">
        <f ca="1">IFERROR(INDEX('Core Inputs Interface'!$1:$1048576,MATCH($AE309,'Core Inputs Interface'!$H:$H,0),MATCH($AG309,'Core Inputs Interface'!$17:$17,0)),0)</f>
        <v>0</v>
      </c>
      <c r="AI309" s="55">
        <f t="shared" si="97"/>
        <v>7.7499999999999999E-2</v>
      </c>
      <c r="AJ309" s="55">
        <f t="shared" si="93"/>
        <v>0.31546495432215926</v>
      </c>
      <c r="AK309" s="55">
        <f t="shared" si="94"/>
        <v>0.8</v>
      </c>
      <c r="AL309" s="55">
        <f t="shared" ca="1" si="98"/>
        <v>0.25</v>
      </c>
      <c r="AM309" s="65">
        <f t="shared" ca="1" si="95"/>
        <v>0</v>
      </c>
      <c r="AN309" s="66">
        <f t="shared" ca="1" si="96"/>
        <v>0</v>
      </c>
      <c r="AO309" s="56">
        <f t="shared" ca="1" si="106"/>
        <v>0</v>
      </c>
      <c r="AP309" t="str">
        <f t="shared" si="101"/>
        <v>Other Transport_46447</v>
      </c>
      <c r="AQ309" t="str">
        <f t="shared" si="102"/>
        <v>Plant and equipment_46447</v>
      </c>
    </row>
    <row r="310" spans="30:43" ht="15.6" thickTop="1" thickBot="1">
      <c r="AE310" s="59" t="str">
        <f t="shared" si="103"/>
        <v>Other Transport</v>
      </c>
      <c r="AF310" s="59" t="str">
        <f t="shared" si="105"/>
        <v>Electrical equipment</v>
      </c>
      <c r="AG310" s="60">
        <f t="shared" si="107"/>
        <v>46447</v>
      </c>
      <c r="AH310" s="79">
        <f ca="1">IFERROR(INDEX('Core Inputs Interface'!$1:$1048576,MATCH($AE310,'Core Inputs Interface'!$H:$H,0),MATCH($AG310,'Core Inputs Interface'!$17:$17,0)),0)</f>
        <v>0</v>
      </c>
      <c r="AI310" s="55">
        <f t="shared" si="97"/>
        <v>0</v>
      </c>
      <c r="AJ310" s="55">
        <f t="shared" si="93"/>
        <v>0.48556692694591386</v>
      </c>
      <c r="AK310" s="55">
        <f t="shared" si="94"/>
        <v>0.8</v>
      </c>
      <c r="AL310" s="55">
        <f t="shared" ca="1" si="98"/>
        <v>0.25</v>
      </c>
      <c r="AM310" s="65">
        <f t="shared" ca="1" si="95"/>
        <v>0</v>
      </c>
      <c r="AN310" s="66">
        <f t="shared" ca="1" si="96"/>
        <v>0</v>
      </c>
      <c r="AO310" s="56">
        <f t="shared" ca="1" si="106"/>
        <v>0</v>
      </c>
      <c r="AP310" t="str">
        <f t="shared" si="101"/>
        <v>Other Transport_46447</v>
      </c>
      <c r="AQ310" t="str">
        <f t="shared" si="102"/>
        <v>Electrical equipment_46447</v>
      </c>
    </row>
    <row r="311" spans="30:43" ht="15.6" thickTop="1" thickBot="1">
      <c r="AE311" s="59" t="str">
        <f t="shared" si="103"/>
        <v>Other Transport</v>
      </c>
      <c r="AF311" s="59" t="str">
        <f t="shared" si="105"/>
        <v>Road equipment</v>
      </c>
      <c r="AG311" s="60">
        <f t="shared" si="107"/>
        <v>46447</v>
      </c>
      <c r="AH311" s="79">
        <f ca="1">IFERROR(INDEX('Core Inputs Interface'!$1:$1048576,MATCH($AE311,'Core Inputs Interface'!$H:$H,0),MATCH($AG311,'Core Inputs Interface'!$17:$17,0)),0)</f>
        <v>0</v>
      </c>
      <c r="AI311" s="55">
        <f t="shared" si="97"/>
        <v>0.01</v>
      </c>
      <c r="AJ311" s="55">
        <f t="shared" si="93"/>
        <v>0.23440288076987165</v>
      </c>
      <c r="AK311" s="55">
        <f t="shared" si="94"/>
        <v>0.8</v>
      </c>
      <c r="AL311" s="55">
        <f t="shared" ca="1" si="98"/>
        <v>0.25</v>
      </c>
      <c r="AM311" s="65">
        <f t="shared" ca="1" si="95"/>
        <v>0</v>
      </c>
      <c r="AN311" s="66">
        <f t="shared" ca="1" si="96"/>
        <v>0</v>
      </c>
      <c r="AO311" s="56">
        <f t="shared" ca="1" si="106"/>
        <v>0</v>
      </c>
      <c r="AP311" t="str">
        <f t="shared" si="101"/>
        <v>Other Transport_46447</v>
      </c>
      <c r="AQ311" t="str">
        <f t="shared" si="102"/>
        <v>Road equipment_46447</v>
      </c>
    </row>
    <row r="312" spans="30:43" ht="15.6" thickTop="1" thickBot="1">
      <c r="AE312" s="59" t="str">
        <f t="shared" si="103"/>
        <v>Other Transport</v>
      </c>
      <c r="AF312" s="59" t="str">
        <f t="shared" si="105"/>
        <v>Water equipment</v>
      </c>
      <c r="AG312" s="60">
        <f t="shared" si="107"/>
        <v>46447</v>
      </c>
      <c r="AH312" s="79">
        <f ca="1">IFERROR(INDEX('Core Inputs Interface'!$1:$1048576,MATCH($AE312,'Core Inputs Interface'!$H:$H,0),MATCH($AG312,'Core Inputs Interface'!$17:$17,0)),0)</f>
        <v>0</v>
      </c>
      <c r="AI312" s="55">
        <f t="shared" si="97"/>
        <v>0</v>
      </c>
      <c r="AJ312" s="55">
        <f t="shared" si="93"/>
        <v>0.53411483886586031</v>
      </c>
      <c r="AK312" s="55">
        <f t="shared" si="94"/>
        <v>0.8</v>
      </c>
      <c r="AL312" s="55">
        <f t="shared" ca="1" si="98"/>
        <v>0.25</v>
      </c>
      <c r="AM312" s="65">
        <f t="shared" ca="1" si="95"/>
        <v>0</v>
      </c>
      <c r="AN312" s="66">
        <f t="shared" ca="1" si="96"/>
        <v>0</v>
      </c>
      <c r="AO312" s="56">
        <f t="shared" ca="1" si="106"/>
        <v>0</v>
      </c>
      <c r="AP312" t="str">
        <f t="shared" si="101"/>
        <v>Other Transport_46447</v>
      </c>
      <c r="AQ312" t="str">
        <f t="shared" si="102"/>
        <v>Water equipment_46447</v>
      </c>
    </row>
    <row r="313" spans="30:43" ht="15.6" thickTop="1" thickBot="1">
      <c r="AE313" s="59" t="str">
        <f t="shared" si="103"/>
        <v>Other Transport</v>
      </c>
      <c r="AF313" s="59" t="str">
        <f t="shared" si="105"/>
        <v>Diesel</v>
      </c>
      <c r="AG313" s="60">
        <f t="shared" si="107"/>
        <v>46447</v>
      </c>
      <c r="AH313" s="79">
        <f ca="1">IFERROR(INDEX('Core Inputs Interface'!$1:$1048576,MATCH($AE313,'Core Inputs Interface'!$H:$H,0),MATCH($AG313,'Core Inputs Interface'!$17:$17,0)),0)</f>
        <v>0</v>
      </c>
      <c r="AI313" s="55">
        <f t="shared" si="97"/>
        <v>5.5E-2</v>
      </c>
      <c r="AJ313" s="55">
        <f t="shared" si="93"/>
        <v>0.45356302165418505</v>
      </c>
      <c r="AK313" s="55">
        <f t="shared" si="94"/>
        <v>0.6</v>
      </c>
      <c r="AL313" s="55">
        <f t="shared" ca="1" si="98"/>
        <v>0.1</v>
      </c>
      <c r="AM313" s="65">
        <f t="shared" ca="1" si="95"/>
        <v>0</v>
      </c>
      <c r="AN313" s="66">
        <f t="shared" ca="1" si="96"/>
        <v>0</v>
      </c>
      <c r="AO313" s="56">
        <f t="shared" ca="1" si="106"/>
        <v>0</v>
      </c>
      <c r="AP313" t="str">
        <f t="shared" si="101"/>
        <v>Other Transport_46447</v>
      </c>
      <c r="AQ313" t="str">
        <f t="shared" si="102"/>
        <v>Diesel_46447</v>
      </c>
    </row>
    <row r="314" spans="30:43" ht="15.6" thickTop="1" thickBot="1">
      <c r="AE314" s="59" t="str">
        <f t="shared" si="103"/>
        <v>Other Transport</v>
      </c>
      <c r="AF314" s="59" t="str">
        <f t="shared" si="105"/>
        <v>Vehicles</v>
      </c>
      <c r="AG314" s="60">
        <f t="shared" si="107"/>
        <v>46447</v>
      </c>
      <c r="AH314" s="79">
        <f ca="1">IFERROR(INDEX('Core Inputs Interface'!$1:$1048576,MATCH($AE314,'Core Inputs Interface'!$H:$H,0),MATCH($AG314,'Core Inputs Interface'!$17:$17,0)),0)</f>
        <v>0</v>
      </c>
      <c r="AI314" s="55">
        <f t="shared" si="97"/>
        <v>0</v>
      </c>
      <c r="AJ314" s="55">
        <f t="shared" si="93"/>
        <v>0.52451068102476561</v>
      </c>
      <c r="AK314" s="55">
        <f t="shared" si="94"/>
        <v>0.8</v>
      </c>
      <c r="AL314" s="55">
        <f t="shared" ca="1" si="98"/>
        <v>0.25</v>
      </c>
      <c r="AM314" s="65">
        <f t="shared" ca="1" si="95"/>
        <v>0</v>
      </c>
      <c r="AN314" s="66">
        <f t="shared" ca="1" si="96"/>
        <v>0</v>
      </c>
      <c r="AO314" s="56">
        <f t="shared" ca="1" si="106"/>
        <v>0</v>
      </c>
      <c r="AP314" t="str">
        <f t="shared" si="101"/>
        <v>Other Transport_46447</v>
      </c>
      <c r="AQ314" t="str">
        <f t="shared" si="102"/>
        <v>Vehicles_46447</v>
      </c>
    </row>
    <row r="315" spans="30:43" ht="15.6" thickTop="1" thickBot="1">
      <c r="AE315" s="59" t="str">
        <f>AE314</f>
        <v>Other Transport</v>
      </c>
      <c r="AF315" s="59" t="str">
        <f t="shared" ref="AF315:AF316" si="108">AF293</f>
        <v>Machinery &amp; Equipment</v>
      </c>
      <c r="AG315" s="60">
        <f>AG314</f>
        <v>46447</v>
      </c>
      <c r="AH315" s="79">
        <f ca="1">IFERROR(INDEX('Core Inputs Interface'!$1:$1048576,MATCH($AE315,'Core Inputs Interface'!$H:$H,0),MATCH($AG315,'Core Inputs Interface'!$17:$17,0)),0)</f>
        <v>0</v>
      </c>
      <c r="AI315" s="55">
        <f t="shared" si="97"/>
        <v>0</v>
      </c>
      <c r="AJ315" s="55">
        <f t="shared" si="93"/>
        <v>0.39238740022595126</v>
      </c>
      <c r="AK315" s="55">
        <f t="shared" si="94"/>
        <v>0.8</v>
      </c>
      <c r="AL315" s="55">
        <f t="shared" ca="1" si="98"/>
        <v>0.25</v>
      </c>
      <c r="AM315" s="65">
        <f t="shared" ca="1" si="95"/>
        <v>0</v>
      </c>
      <c r="AN315" s="66">
        <f t="shared" ca="1" si="96"/>
        <v>0</v>
      </c>
      <c r="AO315" s="56">
        <f ca="1">IFERROR(AM315/AN315,0)</f>
        <v>0</v>
      </c>
      <c r="AP315" t="str">
        <f>_xlfn.TEXTJOIN("_",,$AE315,$AG315)</f>
        <v>Other Transport_46447</v>
      </c>
      <c r="AQ315" t="str">
        <f>_xlfn.TEXTJOIN("_",,$AF315,$AG315)</f>
        <v>Machinery &amp; Equipment_46447</v>
      </c>
    </row>
    <row r="316" spans="30:43" ht="15.6" thickTop="1" thickBot="1">
      <c r="AE316" s="59" t="str">
        <f>AE315</f>
        <v>Other Transport</v>
      </c>
      <c r="AF316" s="59" t="str">
        <f t="shared" si="108"/>
        <v>Office Equipment &amp; IT</v>
      </c>
      <c r="AG316" s="60">
        <f>AG315</f>
        <v>46447</v>
      </c>
      <c r="AH316" s="79">
        <f ca="1">IFERROR(INDEX('Core Inputs Interface'!$1:$1048576,MATCH($AE316,'Core Inputs Interface'!$H:$H,0),MATCH($AG316,'Core Inputs Interface'!$17:$17,0)),0)</f>
        <v>0</v>
      </c>
      <c r="AI316" s="55">
        <f t="shared" si="97"/>
        <v>0</v>
      </c>
      <c r="AJ316" s="55">
        <f t="shared" si="93"/>
        <v>0.15</v>
      </c>
      <c r="AK316" s="55">
        <f t="shared" si="94"/>
        <v>0.8</v>
      </c>
      <c r="AL316" s="55">
        <f t="shared" ca="1" si="98"/>
        <v>0.25</v>
      </c>
      <c r="AM316" s="65">
        <f t="shared" ca="1" si="95"/>
        <v>0</v>
      </c>
      <c r="AN316" s="66">
        <f t="shared" ca="1" si="96"/>
        <v>0</v>
      </c>
      <c r="AO316" s="56">
        <f ca="1">IFERROR(AM316/AN316,0)</f>
        <v>0</v>
      </c>
      <c r="AP316" t="str">
        <f>_xlfn.TEXTJOIN("_",,$AE316,$AG316)</f>
        <v>Other Transport_46447</v>
      </c>
      <c r="AQ316" t="str">
        <f>_xlfn.TEXTJOIN("_",,$AF316,$AG316)</f>
        <v>Office Equipment &amp; IT_46447</v>
      </c>
    </row>
    <row r="317" spans="30:43" ht="15.6" thickTop="1" thickBot="1">
      <c r="AD317">
        <f>AD273+1</f>
        <v>8</v>
      </c>
      <c r="AE317" s="57" t="str" cm="1">
        <f t="array" ref="AE317">INDEX($F$8:$Q$8,$AD317)</f>
        <v>Water assets</v>
      </c>
      <c r="AF317" s="58" t="s">
        <v>66</v>
      </c>
      <c r="AG317" s="62">
        <v>46082</v>
      </c>
      <c r="AH317" s="79">
        <f ca="1">IFERROR(INDEX('Core Inputs Interface'!$1:$1048576,MATCH($AE317,'Core Inputs Interface'!$H:$H,0),MATCH($AG317,'Core Inputs Interface'!$17:$17,0)),"")</f>
        <v>2650</v>
      </c>
      <c r="AI317" s="55">
        <f t="shared" si="97"/>
        <v>0.6</v>
      </c>
      <c r="AJ317" s="55" t="str">
        <f t="shared" si="93"/>
        <v>N/A</v>
      </c>
      <c r="AK317" s="55" t="str">
        <f t="shared" si="94"/>
        <v>N/A</v>
      </c>
      <c r="AL317" s="55" t="str">
        <f t="shared" ca="1" si="98"/>
        <v>N/A</v>
      </c>
      <c r="AM317" s="65">
        <f t="shared" ca="1" si="95"/>
        <v>0</v>
      </c>
      <c r="AN317" s="66">
        <f t="shared" ca="1" si="96"/>
        <v>1590</v>
      </c>
      <c r="AO317" s="56">
        <f ca="1">IFERROR(AM317/AN317,0)</f>
        <v>0</v>
      </c>
      <c r="AP317" t="str">
        <f>_xlfn.TEXTJOIN("_",,$AE317,$AG317)</f>
        <v>Water assets_46082</v>
      </c>
      <c r="AQ317" t="str">
        <f>_xlfn.TEXTJOIN("_",,$AF317,$AG317)</f>
        <v>Labour_46082</v>
      </c>
    </row>
    <row r="318" spans="30:43" ht="15.6" thickTop="1" thickBot="1">
      <c r="AE318" s="59" t="str">
        <f>AE317</f>
        <v>Water assets</v>
      </c>
      <c r="AF318" s="58" t="s">
        <v>67</v>
      </c>
      <c r="AG318" s="60">
        <f>AG317</f>
        <v>46082</v>
      </c>
      <c r="AH318" s="79">
        <f ca="1">IFERROR(INDEX('Core Inputs Interface'!$1:$1048576,MATCH($AE318,'Core Inputs Interface'!$H:$H,0),MATCH($AG318,'Core Inputs Interface'!$17:$17,0)),"")</f>
        <v>2650</v>
      </c>
      <c r="AI318" s="55">
        <f t="shared" si="97"/>
        <v>0</v>
      </c>
      <c r="AJ318" s="55" t="str">
        <f t="shared" si="93"/>
        <v>N/A</v>
      </c>
      <c r="AK318" s="55" t="str">
        <f t="shared" si="94"/>
        <v>N/A</v>
      </c>
      <c r="AL318" s="55" t="str">
        <f t="shared" ca="1" si="98"/>
        <v>N/A</v>
      </c>
      <c r="AM318" s="65">
        <f t="shared" ca="1" si="95"/>
        <v>0</v>
      </c>
      <c r="AN318" s="66">
        <f t="shared" ca="1" si="96"/>
        <v>0</v>
      </c>
      <c r="AO318" s="56">
        <f t="shared" ref="AO318:AO336" ca="1" si="109">IFERROR(AM318/AN318,0)</f>
        <v>0</v>
      </c>
      <c r="AP318" t="str">
        <f t="shared" ref="AP318:AP358" si="110">_xlfn.TEXTJOIN("_",,$AE318,$AG318)</f>
        <v>Water assets_46082</v>
      </c>
      <c r="AQ318" t="str">
        <f t="shared" ref="AQ318:AQ358" si="111">_xlfn.TEXTJOIN("_",,$AF318,$AG318)</f>
        <v>Engineering design_46082</v>
      </c>
    </row>
    <row r="319" spans="30:43" ht="15.6" thickTop="1" thickBot="1">
      <c r="AE319" s="59" t="str">
        <f t="shared" ref="AE319:AE358" si="112">AE318</f>
        <v>Water assets</v>
      </c>
      <c r="AF319" s="58" t="s">
        <v>26</v>
      </c>
      <c r="AG319" s="60">
        <f t="shared" ref="AG319:AG336" si="113">AG318</f>
        <v>46082</v>
      </c>
      <c r="AH319" s="79">
        <f ca="1">IFERROR(INDEX('Core Inputs Interface'!$1:$1048576,MATCH($AE319,'Core Inputs Interface'!$H:$H,0),MATCH($AG319,'Core Inputs Interface'!$17:$17,0)),"")</f>
        <v>2650</v>
      </c>
      <c r="AI319" s="55">
        <f t="shared" si="97"/>
        <v>0</v>
      </c>
      <c r="AJ319" s="55">
        <f t="shared" si="93"/>
        <v>8.4066217963502693E-2</v>
      </c>
      <c r="AK319" s="55">
        <f t="shared" si="94"/>
        <v>0.6</v>
      </c>
      <c r="AL319" s="55">
        <f t="shared" ca="1" si="98"/>
        <v>0.25</v>
      </c>
      <c r="AM319" s="65">
        <f t="shared" ca="1" si="95"/>
        <v>0</v>
      </c>
      <c r="AN319" s="66">
        <f t="shared" ca="1" si="96"/>
        <v>0</v>
      </c>
      <c r="AO319" s="56">
        <f t="shared" ca="1" si="109"/>
        <v>0</v>
      </c>
      <c r="AP319" t="str">
        <f t="shared" si="110"/>
        <v>Water assets_46082</v>
      </c>
      <c r="AQ319" t="str">
        <f t="shared" si="111"/>
        <v>Reinforcing bar_46082</v>
      </c>
    </row>
    <row r="320" spans="30:43" ht="15.6" thickTop="1" thickBot="1">
      <c r="AE320" s="59" t="str">
        <f t="shared" si="112"/>
        <v>Water assets</v>
      </c>
      <c r="AF320" s="58" t="s">
        <v>27</v>
      </c>
      <c r="AG320" s="60">
        <f t="shared" si="113"/>
        <v>46082</v>
      </c>
      <c r="AH320" s="79">
        <f ca="1">IFERROR(INDEX('Core Inputs Interface'!$1:$1048576,MATCH($AE320,'Core Inputs Interface'!$H:$H,0),MATCH($AG320,'Core Inputs Interface'!$17:$17,0)),"")</f>
        <v>2650</v>
      </c>
      <c r="AI320" s="55">
        <f t="shared" si="97"/>
        <v>0.05</v>
      </c>
      <c r="AJ320" s="55">
        <f t="shared" si="93"/>
        <v>0.52500514810102583</v>
      </c>
      <c r="AK320" s="55">
        <f t="shared" si="94"/>
        <v>0.6</v>
      </c>
      <c r="AL320" s="55">
        <f t="shared" ca="1" si="98"/>
        <v>0.25</v>
      </c>
      <c r="AM320" s="65">
        <f t="shared" ca="1" si="95"/>
        <v>10.43447731850789</v>
      </c>
      <c r="AN320" s="66">
        <f t="shared" ca="1" si="96"/>
        <v>132.5</v>
      </c>
      <c r="AO320" s="56">
        <f t="shared" ca="1" si="109"/>
        <v>7.8750772215153877E-2</v>
      </c>
      <c r="AP320" t="str">
        <f t="shared" si="110"/>
        <v>Water assets_46082</v>
      </c>
      <c r="AQ320" t="str">
        <f t="shared" si="111"/>
        <v>Structural steel_46082</v>
      </c>
    </row>
    <row r="321" spans="31:43" ht="15.6" thickTop="1" thickBot="1">
      <c r="AE321" s="59" t="str">
        <f t="shared" si="112"/>
        <v>Water assets</v>
      </c>
      <c r="AF321" s="58" t="s">
        <v>28</v>
      </c>
      <c r="AG321" s="60">
        <f t="shared" si="113"/>
        <v>46082</v>
      </c>
      <c r="AH321" s="79">
        <f ca="1">IFERROR(INDEX('Core Inputs Interface'!$1:$1048576,MATCH($AE321,'Core Inputs Interface'!$H:$H,0),MATCH($AG321,'Core Inputs Interface'!$17:$17,0)),"")</f>
        <v>2650</v>
      </c>
      <c r="AI321" s="55">
        <f t="shared" si="97"/>
        <v>0</v>
      </c>
      <c r="AJ321" s="55">
        <f t="shared" si="93"/>
        <v>9.1004090556242881E-2</v>
      </c>
      <c r="AK321" s="55">
        <f t="shared" si="94"/>
        <v>0.6</v>
      </c>
      <c r="AL321" s="55">
        <f t="shared" ca="1" si="98"/>
        <v>0.25</v>
      </c>
      <c r="AM321" s="65">
        <f t="shared" ca="1" si="95"/>
        <v>0</v>
      </c>
      <c r="AN321" s="66">
        <f t="shared" ca="1" si="96"/>
        <v>0</v>
      </c>
      <c r="AO321" s="56">
        <f t="shared" ca="1" si="109"/>
        <v>0</v>
      </c>
      <c r="AP321" t="str">
        <f t="shared" si="110"/>
        <v>Water assets_46082</v>
      </c>
      <c r="AQ321" t="str">
        <f t="shared" si="111"/>
        <v>Quarry Material_46082</v>
      </c>
    </row>
    <row r="322" spans="31:43" ht="15.6" thickTop="1" thickBot="1">
      <c r="AE322" s="59" t="str">
        <f t="shared" si="112"/>
        <v>Water assets</v>
      </c>
      <c r="AF322" s="58" t="s">
        <v>30</v>
      </c>
      <c r="AG322" s="60">
        <f t="shared" si="113"/>
        <v>46082</v>
      </c>
      <c r="AH322" s="79">
        <f ca="1">IFERROR(INDEX('Core Inputs Interface'!$1:$1048576,MATCH($AE322,'Core Inputs Interface'!$H:$H,0),MATCH($AG322,'Core Inputs Interface'!$17:$17,0)),"")</f>
        <v>2650</v>
      </c>
      <c r="AI322" s="55">
        <f t="shared" si="97"/>
        <v>0.05</v>
      </c>
      <c r="AJ322" s="55">
        <f t="shared" si="93"/>
        <v>1.1472584695084088E-2</v>
      </c>
      <c r="AK322" s="55">
        <f t="shared" si="94"/>
        <v>0.6</v>
      </c>
      <c r="AL322" s="55">
        <f t="shared" ca="1" si="98"/>
        <v>0.25</v>
      </c>
      <c r="AM322" s="65">
        <f t="shared" ca="1" si="95"/>
        <v>0.22801762081479623</v>
      </c>
      <c r="AN322" s="66">
        <f t="shared" ca="1" si="96"/>
        <v>132.5</v>
      </c>
      <c r="AO322" s="56">
        <f t="shared" ca="1" si="109"/>
        <v>1.720887704262613E-3</v>
      </c>
      <c r="AP322" t="str">
        <f t="shared" si="110"/>
        <v>Water assets_46082</v>
      </c>
      <c r="AQ322" t="str">
        <f t="shared" si="111"/>
        <v>Concrete_46082</v>
      </c>
    </row>
    <row r="323" spans="31:43" ht="15.6" thickTop="1" thickBot="1">
      <c r="AE323" s="59" t="str">
        <f t="shared" si="112"/>
        <v>Water assets</v>
      </c>
      <c r="AF323" s="57" t="s">
        <v>32</v>
      </c>
      <c r="AG323" s="60">
        <f t="shared" si="113"/>
        <v>46082</v>
      </c>
      <c r="AH323" s="79">
        <f ca="1">IFERROR(INDEX('Core Inputs Interface'!$1:$1048576,MATCH($AE323,'Core Inputs Interface'!$H:$H,0),MATCH($AG323,'Core Inputs Interface'!$17:$17,0)),"")</f>
        <v>2650</v>
      </c>
      <c r="AI323" s="55">
        <f t="shared" si="97"/>
        <v>0</v>
      </c>
      <c r="AJ323" s="55">
        <f t="shared" si="93"/>
        <v>9.8410961434768088E-2</v>
      </c>
      <c r="AK323" s="55">
        <f t="shared" si="94"/>
        <v>0.6</v>
      </c>
      <c r="AL323" s="55">
        <f t="shared" ca="1" si="98"/>
        <v>0.25</v>
      </c>
      <c r="AM323" s="65">
        <f t="shared" ca="1" si="95"/>
        <v>0</v>
      </c>
      <c r="AN323" s="66">
        <f t="shared" ca="1" si="96"/>
        <v>0</v>
      </c>
      <c r="AO323" s="56">
        <f t="shared" ca="1" si="109"/>
        <v>0</v>
      </c>
      <c r="AP323" t="str">
        <f t="shared" si="110"/>
        <v>Water assets_46082</v>
      </c>
      <c r="AQ323" t="str">
        <f t="shared" si="111"/>
        <v>Masonry_46082</v>
      </c>
    </row>
    <row r="324" spans="31:43" ht="15.6" thickTop="1" thickBot="1">
      <c r="AE324" s="59" t="str">
        <f t="shared" si="112"/>
        <v>Water assets</v>
      </c>
      <c r="AF324" s="57" t="s">
        <v>34</v>
      </c>
      <c r="AG324" s="60">
        <f t="shared" si="113"/>
        <v>46082</v>
      </c>
      <c r="AH324" s="79">
        <f ca="1">IFERROR(INDEX('Core Inputs Interface'!$1:$1048576,MATCH($AE324,'Core Inputs Interface'!$H:$H,0),MATCH($AG324,'Core Inputs Interface'!$17:$17,0)),"")</f>
        <v>2650</v>
      </c>
      <c r="AI324" s="55">
        <f t="shared" si="97"/>
        <v>0</v>
      </c>
      <c r="AJ324" s="55">
        <f t="shared" si="93"/>
        <v>0.13840817436677436</v>
      </c>
      <c r="AK324" s="55">
        <f t="shared" si="94"/>
        <v>0.6</v>
      </c>
      <c r="AL324" s="55">
        <f t="shared" ca="1" si="98"/>
        <v>0.25</v>
      </c>
      <c r="AM324" s="65">
        <f t="shared" ca="1" si="95"/>
        <v>0</v>
      </c>
      <c r="AN324" s="66">
        <f t="shared" ca="1" si="96"/>
        <v>0</v>
      </c>
      <c r="AO324" s="56">
        <f t="shared" ca="1" si="109"/>
        <v>0</v>
      </c>
      <c r="AP324" t="str">
        <f t="shared" si="110"/>
        <v>Water assets_46082</v>
      </c>
      <c r="AQ324" t="str">
        <f t="shared" si="111"/>
        <v>Wood_46082</v>
      </c>
    </row>
    <row r="325" spans="31:43" ht="15.6" thickTop="1" thickBot="1">
      <c r="AE325" s="59" t="str">
        <f t="shared" si="112"/>
        <v>Water assets</v>
      </c>
      <c r="AF325" s="57" t="s">
        <v>36</v>
      </c>
      <c r="AG325" s="60">
        <f t="shared" si="113"/>
        <v>46082</v>
      </c>
      <c r="AH325" s="79">
        <f ca="1">IFERROR(INDEX('Core Inputs Interface'!$1:$1048576,MATCH($AE325,'Core Inputs Interface'!$H:$H,0),MATCH($AG325,'Core Inputs Interface'!$17:$17,0)),"")</f>
        <v>2650</v>
      </c>
      <c r="AI325" s="55">
        <f t="shared" si="97"/>
        <v>0.01</v>
      </c>
      <c r="AJ325" s="55">
        <f t="shared" si="93"/>
        <v>0.80654510583379313</v>
      </c>
      <c r="AK325" s="55">
        <f t="shared" si="94"/>
        <v>0.6</v>
      </c>
      <c r="AL325" s="55">
        <f t="shared" ca="1" si="98"/>
        <v>0.25</v>
      </c>
      <c r="AM325" s="65">
        <f t="shared" ca="1" si="95"/>
        <v>3.2060167956893273</v>
      </c>
      <c r="AN325" s="66">
        <f t="shared" ca="1" si="96"/>
        <v>26.5</v>
      </c>
      <c r="AO325" s="56">
        <f t="shared" ca="1" si="109"/>
        <v>0.12098176587506895</v>
      </c>
      <c r="AP325" t="str">
        <f t="shared" si="110"/>
        <v>Water assets_46082</v>
      </c>
      <c r="AQ325" t="str">
        <f t="shared" si="111"/>
        <v>Electrical wire_46082</v>
      </c>
    </row>
    <row r="326" spans="31:43" ht="15.6" thickTop="1" thickBot="1">
      <c r="AE326" s="59" t="str">
        <f t="shared" si="112"/>
        <v>Water assets</v>
      </c>
      <c r="AF326" s="57" t="s">
        <v>38</v>
      </c>
      <c r="AG326" s="60">
        <f t="shared" si="113"/>
        <v>46082</v>
      </c>
      <c r="AH326" s="79">
        <f ca="1">IFERROR(INDEX('Core Inputs Interface'!$1:$1048576,MATCH($AE326,'Core Inputs Interface'!$H:$H,0),MATCH($AG326,'Core Inputs Interface'!$17:$17,0)),"")</f>
        <v>2650</v>
      </c>
      <c r="AI326" s="55">
        <f t="shared" si="97"/>
        <v>0</v>
      </c>
      <c r="AJ326" s="55">
        <f t="shared" si="93"/>
        <v>0.24210307145623419</v>
      </c>
      <c r="AK326" s="55">
        <f t="shared" si="94"/>
        <v>0.6</v>
      </c>
      <c r="AL326" s="55">
        <f t="shared" ca="1" si="98"/>
        <v>0.25</v>
      </c>
      <c r="AM326" s="65">
        <f t="shared" ca="1" si="95"/>
        <v>0</v>
      </c>
      <c r="AN326" s="66">
        <f t="shared" ca="1" si="96"/>
        <v>0</v>
      </c>
      <c r="AO326" s="56">
        <f t="shared" ca="1" si="109"/>
        <v>0</v>
      </c>
      <c r="AP326" t="str">
        <f t="shared" si="110"/>
        <v>Water assets_46082</v>
      </c>
      <c r="AQ326" t="str">
        <f t="shared" si="111"/>
        <v>Glass_46082</v>
      </c>
    </row>
    <row r="327" spans="31:43" ht="15.6" thickTop="1" thickBot="1">
      <c r="AE327" s="59" t="str">
        <f t="shared" si="112"/>
        <v>Water assets</v>
      </c>
      <c r="AF327" s="57" t="s">
        <v>40</v>
      </c>
      <c r="AG327" s="60">
        <f t="shared" si="113"/>
        <v>46082</v>
      </c>
      <c r="AH327" s="79">
        <f ca="1">IFERROR(INDEX('Core Inputs Interface'!$1:$1048576,MATCH($AE327,'Core Inputs Interface'!$H:$H,0),MATCH($AG327,'Core Inputs Interface'!$17:$17,0)),"")</f>
        <v>2650</v>
      </c>
      <c r="AI327" s="55">
        <f t="shared" si="97"/>
        <v>0</v>
      </c>
      <c r="AJ327" s="55">
        <f t="shared" si="93"/>
        <v>2.4772729573316262E-4</v>
      </c>
      <c r="AK327" s="55">
        <f t="shared" si="94"/>
        <v>0.6</v>
      </c>
      <c r="AL327" s="55">
        <f t="shared" ca="1" si="98"/>
        <v>0.25</v>
      </c>
      <c r="AM327" s="65">
        <f t="shared" ca="1" si="95"/>
        <v>0</v>
      </c>
      <c r="AN327" s="66">
        <f t="shared" ca="1" si="96"/>
        <v>0</v>
      </c>
      <c r="AO327" s="56">
        <f t="shared" ca="1" si="109"/>
        <v>0</v>
      </c>
      <c r="AP327" t="str">
        <f t="shared" si="110"/>
        <v>Water assets_46082</v>
      </c>
      <c r="AQ327" t="str">
        <f t="shared" si="111"/>
        <v>Roofing_46082</v>
      </c>
    </row>
    <row r="328" spans="31:43" ht="15.6" thickTop="1" thickBot="1">
      <c r="AE328" s="59" t="str">
        <f t="shared" si="112"/>
        <v>Water assets</v>
      </c>
      <c r="AF328" s="57" t="s">
        <v>42</v>
      </c>
      <c r="AG328" s="60">
        <f t="shared" si="113"/>
        <v>46082</v>
      </c>
      <c r="AH328" s="79">
        <f ca="1">IFERROR(INDEX('Core Inputs Interface'!$1:$1048576,MATCH($AE328,'Core Inputs Interface'!$H:$H,0),MATCH($AG328,'Core Inputs Interface'!$17:$17,0)),"")</f>
        <v>2650</v>
      </c>
      <c r="AI328" s="55">
        <f t="shared" si="97"/>
        <v>0</v>
      </c>
      <c r="AJ328" s="55">
        <f t="shared" si="93"/>
        <v>0.54050345117059384</v>
      </c>
      <c r="AK328" s="55">
        <f t="shared" si="94"/>
        <v>0.6</v>
      </c>
      <c r="AL328" s="55">
        <f t="shared" ca="1" si="98"/>
        <v>0.25</v>
      </c>
      <c r="AM328" s="65">
        <f t="shared" ca="1" si="95"/>
        <v>0</v>
      </c>
      <c r="AN328" s="66">
        <f t="shared" ca="1" si="96"/>
        <v>0</v>
      </c>
      <c r="AO328" s="56">
        <f t="shared" ca="1" si="109"/>
        <v>0</v>
      </c>
      <c r="AP328" t="str">
        <f t="shared" si="110"/>
        <v>Water assets_46082</v>
      </c>
      <c r="AQ328" t="str">
        <f t="shared" si="111"/>
        <v>Interior_46082</v>
      </c>
    </row>
    <row r="329" spans="31:43" ht="15.6" thickTop="1" thickBot="1">
      <c r="AE329" s="59" t="str">
        <f t="shared" si="112"/>
        <v>Water assets</v>
      </c>
      <c r="AF329" s="57" t="s">
        <v>44</v>
      </c>
      <c r="AG329" s="60">
        <f t="shared" si="113"/>
        <v>46082</v>
      </c>
      <c r="AH329" s="79">
        <f ca="1">IFERROR(INDEX('Core Inputs Interface'!$1:$1048576,MATCH($AE329,'Core Inputs Interface'!$H:$H,0),MATCH($AG329,'Core Inputs Interface'!$17:$17,0)),"")</f>
        <v>2650</v>
      </c>
      <c r="AI329" s="55">
        <f t="shared" si="97"/>
        <v>0</v>
      </c>
      <c r="AJ329" s="55">
        <f t="shared" ref="AJ329:AJ392" si="114">IFERROR(INDEX($U:$U,MATCH($AF329,$T:$T,0)),0)</f>
        <v>0.14985905317691026</v>
      </c>
      <c r="AK329" s="55">
        <f t="shared" ref="AK329:AK392" si="115">IFERROR(INDEX($Y:$Y,MATCH($AF329,$X:$X,0)),0)</f>
        <v>0.6</v>
      </c>
      <c r="AL329" s="55">
        <f t="shared" ca="1" si="98"/>
        <v>0.25</v>
      </c>
      <c r="AM329" s="65">
        <f t="shared" ref="AM329:AM392" ca="1" si="116">IF(AL329="N/A",0,PRODUCT(AH329:AL329))</f>
        <v>0</v>
      </c>
      <c r="AN329" s="66">
        <f t="shared" ref="AN329:AN392" ca="1" si="117">PRODUCT(AH329:AI329)</f>
        <v>0</v>
      </c>
      <c r="AO329" s="56">
        <f t="shared" ca="1" si="109"/>
        <v>0</v>
      </c>
      <c r="AP329" t="str">
        <f t="shared" si="110"/>
        <v>Water assets_46082</v>
      </c>
      <c r="AQ329" t="str">
        <f t="shared" si="111"/>
        <v>Bitumen_46082</v>
      </c>
    </row>
    <row r="330" spans="31:43" ht="15.6" thickTop="1" thickBot="1">
      <c r="AE330" s="59" t="str">
        <f t="shared" si="112"/>
        <v>Water assets</v>
      </c>
      <c r="AF330" s="57" t="s">
        <v>46</v>
      </c>
      <c r="AG330" s="60">
        <f t="shared" si="113"/>
        <v>46082</v>
      </c>
      <c r="AH330" s="79">
        <f ca="1">IFERROR(INDEX('Core Inputs Interface'!$1:$1048576,MATCH($AE330,'Core Inputs Interface'!$H:$H,0),MATCH($AG330,'Core Inputs Interface'!$17:$17,0)),"")</f>
        <v>2650</v>
      </c>
      <c r="AI330" s="55">
        <f t="shared" ref="AI330:AI393" si="118">IFERROR(INDEX($F$9:$Q$30,MATCH($AF330,$E$9:$E$30,0),MATCH($AE330,$F$8:$Q$8,0)),0)</f>
        <v>0.09</v>
      </c>
      <c r="AJ330" s="55">
        <f t="shared" si="114"/>
        <v>0.12828361767948987</v>
      </c>
      <c r="AK330" s="55">
        <f t="shared" si="115"/>
        <v>0.6</v>
      </c>
      <c r="AL330" s="55">
        <f t="shared" ref="AL330:AL393" ca="1" si="119">IFERROR(INDEX($Z$10:$AA$31,MATCH($AF330,$X$10:$X$31,0),MATCH($AG330,$Z$9:$AA$9,0)),0)</f>
        <v>0.25</v>
      </c>
      <c r="AM330" s="65">
        <f t="shared" ca="1" si="116"/>
        <v>4.5893464224837501</v>
      </c>
      <c r="AN330" s="66">
        <f t="shared" ca="1" si="117"/>
        <v>238.5</v>
      </c>
      <c r="AO330" s="56">
        <f t="shared" ca="1" si="109"/>
        <v>1.9242542651923482E-2</v>
      </c>
      <c r="AP330" t="str">
        <f t="shared" si="110"/>
        <v>Water assets_46082</v>
      </c>
      <c r="AQ330" t="str">
        <f t="shared" si="111"/>
        <v>Polyethylene pipes_46082</v>
      </c>
    </row>
    <row r="331" spans="31:43" ht="15.6" thickTop="1" thickBot="1">
      <c r="AE331" s="59" t="str">
        <f t="shared" si="112"/>
        <v>Water assets</v>
      </c>
      <c r="AF331" s="57" t="s">
        <v>48</v>
      </c>
      <c r="AG331" s="60">
        <f t="shared" si="113"/>
        <v>46082</v>
      </c>
      <c r="AH331" s="79">
        <f ca="1">IFERROR(INDEX('Core Inputs Interface'!$1:$1048576,MATCH($AE331,'Core Inputs Interface'!$H:$H,0),MATCH($AG331,'Core Inputs Interface'!$17:$17,0)),"")</f>
        <v>2650</v>
      </c>
      <c r="AI331" s="55">
        <f t="shared" si="118"/>
        <v>0.08</v>
      </c>
      <c r="AJ331" s="55">
        <f t="shared" si="114"/>
        <v>0.31546495432215926</v>
      </c>
      <c r="AK331" s="55">
        <f t="shared" si="115"/>
        <v>0.8</v>
      </c>
      <c r="AL331" s="55">
        <f t="shared" ca="1" si="119"/>
        <v>0.25</v>
      </c>
      <c r="AM331" s="65">
        <f t="shared" ca="1" si="116"/>
        <v>13.375714063259554</v>
      </c>
      <c r="AN331" s="66">
        <f t="shared" ca="1" si="117"/>
        <v>212</v>
      </c>
      <c r="AO331" s="56">
        <f t="shared" ca="1" si="109"/>
        <v>6.3092990864431861E-2</v>
      </c>
      <c r="AP331" t="str">
        <f t="shared" si="110"/>
        <v>Water assets_46082</v>
      </c>
      <c r="AQ331" t="str">
        <f t="shared" si="111"/>
        <v>Plant and equipment_46082</v>
      </c>
    </row>
    <row r="332" spans="31:43" ht="15.6" thickTop="1" thickBot="1">
      <c r="AE332" s="59" t="str">
        <f t="shared" si="112"/>
        <v>Water assets</v>
      </c>
      <c r="AF332" s="57" t="s">
        <v>50</v>
      </c>
      <c r="AG332" s="60">
        <f t="shared" si="113"/>
        <v>46082</v>
      </c>
      <c r="AH332" s="79">
        <f ca="1">IFERROR(INDEX('Core Inputs Interface'!$1:$1048576,MATCH($AE332,'Core Inputs Interface'!$H:$H,0),MATCH($AG332,'Core Inputs Interface'!$17:$17,0)),"")</f>
        <v>2650</v>
      </c>
      <c r="AI332" s="55">
        <f t="shared" si="118"/>
        <v>0</v>
      </c>
      <c r="AJ332" s="55">
        <f t="shared" si="114"/>
        <v>0.48556692694591386</v>
      </c>
      <c r="AK332" s="55">
        <f t="shared" si="115"/>
        <v>0.8</v>
      </c>
      <c r="AL332" s="55">
        <f t="shared" ca="1" si="119"/>
        <v>0.25</v>
      </c>
      <c r="AM332" s="65">
        <f t="shared" ca="1" si="116"/>
        <v>0</v>
      </c>
      <c r="AN332" s="66">
        <f t="shared" ca="1" si="117"/>
        <v>0</v>
      </c>
      <c r="AO332" s="56">
        <f t="shared" ca="1" si="109"/>
        <v>0</v>
      </c>
      <c r="AP332" t="str">
        <f t="shared" si="110"/>
        <v>Water assets_46082</v>
      </c>
      <c r="AQ332" t="str">
        <f t="shared" si="111"/>
        <v>Electrical equipment_46082</v>
      </c>
    </row>
    <row r="333" spans="31:43" ht="15.6" thickTop="1" thickBot="1">
      <c r="AE333" s="59" t="str">
        <f t="shared" si="112"/>
        <v>Water assets</v>
      </c>
      <c r="AF333" s="57" t="s">
        <v>52</v>
      </c>
      <c r="AG333" s="60">
        <f t="shared" si="113"/>
        <v>46082</v>
      </c>
      <c r="AH333" s="79">
        <f ca="1">IFERROR(INDEX('Core Inputs Interface'!$1:$1048576,MATCH($AE333,'Core Inputs Interface'!$H:$H,0),MATCH($AG333,'Core Inputs Interface'!$17:$17,0)),"")</f>
        <v>2650</v>
      </c>
      <c r="AI333" s="55">
        <f t="shared" si="118"/>
        <v>0</v>
      </c>
      <c r="AJ333" s="55">
        <f t="shared" si="114"/>
        <v>0.23440288076987165</v>
      </c>
      <c r="AK333" s="55">
        <f t="shared" si="115"/>
        <v>0.8</v>
      </c>
      <c r="AL333" s="55">
        <f t="shared" ca="1" si="119"/>
        <v>0.25</v>
      </c>
      <c r="AM333" s="65">
        <f t="shared" ca="1" si="116"/>
        <v>0</v>
      </c>
      <c r="AN333" s="66">
        <f t="shared" ca="1" si="117"/>
        <v>0</v>
      </c>
      <c r="AO333" s="56">
        <f t="shared" ca="1" si="109"/>
        <v>0</v>
      </c>
      <c r="AP333" t="str">
        <f t="shared" si="110"/>
        <v>Water assets_46082</v>
      </c>
      <c r="AQ333" t="str">
        <f t="shared" si="111"/>
        <v>Road equipment_46082</v>
      </c>
    </row>
    <row r="334" spans="31:43" ht="15.6" thickTop="1" thickBot="1">
      <c r="AE334" s="59" t="str">
        <f t="shared" si="112"/>
        <v>Water assets</v>
      </c>
      <c r="AF334" s="57" t="s">
        <v>54</v>
      </c>
      <c r="AG334" s="60">
        <f t="shared" si="113"/>
        <v>46082</v>
      </c>
      <c r="AH334" s="79">
        <f ca="1">IFERROR(INDEX('Core Inputs Interface'!$1:$1048576,MATCH($AE334,'Core Inputs Interface'!$H:$H,0),MATCH($AG334,'Core Inputs Interface'!$17:$17,0)),"")</f>
        <v>2650</v>
      </c>
      <c r="AI334" s="55">
        <f t="shared" si="118"/>
        <v>7.0000000000000007E-2</v>
      </c>
      <c r="AJ334" s="55">
        <f t="shared" si="114"/>
        <v>0.53411483886586031</v>
      </c>
      <c r="AK334" s="55">
        <f t="shared" si="115"/>
        <v>0.8</v>
      </c>
      <c r="AL334" s="55">
        <f t="shared" ca="1" si="119"/>
        <v>0.25</v>
      </c>
      <c r="AM334" s="65">
        <f t="shared" ca="1" si="116"/>
        <v>19.815660521923419</v>
      </c>
      <c r="AN334" s="66">
        <f t="shared" ca="1" si="117"/>
        <v>185.50000000000003</v>
      </c>
      <c r="AO334" s="56">
        <f t="shared" ca="1" si="109"/>
        <v>0.10682296777317206</v>
      </c>
      <c r="AP334" t="str">
        <f t="shared" si="110"/>
        <v>Water assets_46082</v>
      </c>
      <c r="AQ334" t="str">
        <f t="shared" si="111"/>
        <v>Water equipment_46082</v>
      </c>
    </row>
    <row r="335" spans="31:43" ht="15.6" thickTop="1" thickBot="1">
      <c r="AE335" s="59" t="str">
        <f t="shared" si="112"/>
        <v>Water assets</v>
      </c>
      <c r="AF335" s="57" t="s">
        <v>56</v>
      </c>
      <c r="AG335" s="60">
        <f t="shared" si="113"/>
        <v>46082</v>
      </c>
      <c r="AH335" s="79">
        <f ca="1">IFERROR(INDEX('Core Inputs Interface'!$1:$1048576,MATCH($AE335,'Core Inputs Interface'!$H:$H,0),MATCH($AG335,'Core Inputs Interface'!$17:$17,0)),"")</f>
        <v>2650</v>
      </c>
      <c r="AI335" s="55">
        <f t="shared" si="118"/>
        <v>0.05</v>
      </c>
      <c r="AJ335" s="55">
        <f t="shared" si="114"/>
        <v>0.45356302165418505</v>
      </c>
      <c r="AK335" s="55">
        <f t="shared" si="115"/>
        <v>0.6</v>
      </c>
      <c r="AL335" s="55">
        <f t="shared" ca="1" si="119"/>
        <v>0.1</v>
      </c>
      <c r="AM335" s="65">
        <f t="shared" ca="1" si="116"/>
        <v>3.605826022150771</v>
      </c>
      <c r="AN335" s="66">
        <f t="shared" ca="1" si="117"/>
        <v>132.5</v>
      </c>
      <c r="AO335" s="56">
        <f t="shared" ca="1" si="109"/>
        <v>2.7213781299251102E-2</v>
      </c>
      <c r="AP335" t="str">
        <f t="shared" si="110"/>
        <v>Water assets_46082</v>
      </c>
      <c r="AQ335" t="str">
        <f t="shared" si="111"/>
        <v>Diesel_46082</v>
      </c>
    </row>
    <row r="336" spans="31:43" ht="15.6" thickTop="1" thickBot="1">
      <c r="AE336" s="59" t="str">
        <f t="shared" si="112"/>
        <v>Water assets</v>
      </c>
      <c r="AF336" s="57" t="s">
        <v>49</v>
      </c>
      <c r="AG336" s="60">
        <f t="shared" si="113"/>
        <v>46082</v>
      </c>
      <c r="AH336" s="79">
        <f ca="1">IFERROR(INDEX('Core Inputs Interface'!$1:$1048576,MATCH($AE336,'Core Inputs Interface'!$H:$H,0),MATCH($AG336,'Core Inputs Interface'!$17:$17,0)),"")</f>
        <v>2650</v>
      </c>
      <c r="AI336" s="55">
        <f t="shared" si="118"/>
        <v>0</v>
      </c>
      <c r="AJ336" s="55">
        <f t="shared" si="114"/>
        <v>0.52451068102476561</v>
      </c>
      <c r="AK336" s="55">
        <f t="shared" si="115"/>
        <v>0.8</v>
      </c>
      <c r="AL336" s="55">
        <f t="shared" ca="1" si="119"/>
        <v>0.25</v>
      </c>
      <c r="AM336" s="65">
        <f t="shared" ca="1" si="116"/>
        <v>0</v>
      </c>
      <c r="AN336" s="66">
        <f t="shared" ca="1" si="117"/>
        <v>0</v>
      </c>
      <c r="AO336" s="56">
        <f t="shared" ca="1" si="109"/>
        <v>0</v>
      </c>
      <c r="AP336" t="str">
        <f t="shared" si="110"/>
        <v>Water assets_46082</v>
      </c>
      <c r="AQ336" t="str">
        <f t="shared" si="111"/>
        <v>Vehicles_46082</v>
      </c>
    </row>
    <row r="337" spans="31:43" ht="15.6" thickTop="1" thickBot="1">
      <c r="AE337" s="59" t="str">
        <f>AE336</f>
        <v>Water assets</v>
      </c>
      <c r="AF337" s="57" t="s">
        <v>51</v>
      </c>
      <c r="AG337" s="60">
        <f>AG336</f>
        <v>46082</v>
      </c>
      <c r="AH337" s="79">
        <f ca="1">IFERROR(INDEX('Core Inputs Interface'!$1:$1048576,MATCH($AE337,'Core Inputs Interface'!$H:$H,0),MATCH($AG337,'Core Inputs Interface'!$17:$17,0)),"")</f>
        <v>2650</v>
      </c>
      <c r="AI337" s="55">
        <f t="shared" si="118"/>
        <v>0</v>
      </c>
      <c r="AJ337" s="55">
        <f t="shared" si="114"/>
        <v>0.39238740022595126</v>
      </c>
      <c r="AK337" s="55">
        <f t="shared" si="115"/>
        <v>0.8</v>
      </c>
      <c r="AL337" s="55">
        <f t="shared" ca="1" si="119"/>
        <v>0.25</v>
      </c>
      <c r="AM337" s="65">
        <f t="shared" ca="1" si="116"/>
        <v>0</v>
      </c>
      <c r="AN337" s="66">
        <f t="shared" ca="1" si="117"/>
        <v>0</v>
      </c>
      <c r="AO337" s="56">
        <f ca="1">IFERROR(AM337/AN337,0)</f>
        <v>0</v>
      </c>
      <c r="AP337" t="str">
        <f>_xlfn.TEXTJOIN("_",,$AE337,$AG337)</f>
        <v>Water assets_46082</v>
      </c>
      <c r="AQ337" t="str">
        <f>_xlfn.TEXTJOIN("_",,$AF337,$AG337)</f>
        <v>Machinery &amp; Equipment_46082</v>
      </c>
    </row>
    <row r="338" spans="31:43" ht="15.6" thickTop="1" thickBot="1">
      <c r="AE338" s="59" t="str">
        <f>AE337</f>
        <v>Water assets</v>
      </c>
      <c r="AF338" s="57" t="s">
        <v>53</v>
      </c>
      <c r="AG338" s="60">
        <f>AG337</f>
        <v>46082</v>
      </c>
      <c r="AH338" s="79">
        <f ca="1">IFERROR(INDEX('Core Inputs Interface'!$1:$1048576,MATCH($AE338,'Core Inputs Interface'!$H:$H,0),MATCH($AG338,'Core Inputs Interface'!$17:$17,0)),"")</f>
        <v>2650</v>
      </c>
      <c r="AI338" s="55">
        <f t="shared" si="118"/>
        <v>0</v>
      </c>
      <c r="AJ338" s="55">
        <f t="shared" si="114"/>
        <v>0.15</v>
      </c>
      <c r="AK338" s="55">
        <f t="shared" si="115"/>
        <v>0.8</v>
      </c>
      <c r="AL338" s="55">
        <f t="shared" ca="1" si="119"/>
        <v>0.25</v>
      </c>
      <c r="AM338" s="65">
        <f t="shared" ca="1" si="116"/>
        <v>0</v>
      </c>
      <c r="AN338" s="66">
        <f t="shared" ca="1" si="117"/>
        <v>0</v>
      </c>
      <c r="AO338" s="56">
        <f ca="1">IFERROR(AM338/AN338,0)</f>
        <v>0</v>
      </c>
      <c r="AP338" t="str">
        <f>_xlfn.TEXTJOIN("_",,$AE338,$AG338)</f>
        <v>Water assets_46082</v>
      </c>
      <c r="AQ338" t="str">
        <f>_xlfn.TEXTJOIN("_",,$AF338,$AG338)</f>
        <v>Office Equipment &amp; IT_46082</v>
      </c>
    </row>
    <row r="339" spans="31:43" ht="15.6" thickTop="1" thickBot="1">
      <c r="AE339" s="59" t="str">
        <f>AE336</f>
        <v>Water assets</v>
      </c>
      <c r="AF339" s="59" t="str">
        <f t="shared" ref="AF339:AF358" si="120">AF317</f>
        <v>Labour</v>
      </c>
      <c r="AG339" s="61">
        <f>EDATE(AG317,12)</f>
        <v>46447</v>
      </c>
      <c r="AH339" s="79">
        <f ca="1">IFERROR(INDEX('Core Inputs Interface'!$1:$1048576,MATCH($AE339,'Core Inputs Interface'!$H:$H,0),MATCH($AG339,'Core Inputs Interface'!$17:$17,0)),"")</f>
        <v>2785</v>
      </c>
      <c r="AI339" s="55">
        <f t="shared" si="118"/>
        <v>0.6</v>
      </c>
      <c r="AJ339" s="55" t="str">
        <f t="shared" si="114"/>
        <v>N/A</v>
      </c>
      <c r="AK339" s="55" t="str">
        <f t="shared" si="115"/>
        <v>N/A</v>
      </c>
      <c r="AL339" s="55" t="str">
        <f t="shared" ca="1" si="119"/>
        <v>N/A</v>
      </c>
      <c r="AM339" s="65">
        <f t="shared" ca="1" si="116"/>
        <v>0</v>
      </c>
      <c r="AN339" s="66">
        <f t="shared" ca="1" si="117"/>
        <v>1671</v>
      </c>
      <c r="AO339" s="56">
        <f t="shared" ref="AO339:AO358" ca="1" si="121">IFERROR(AM339/AN339,0)</f>
        <v>0</v>
      </c>
      <c r="AP339" t="str">
        <f t="shared" si="110"/>
        <v>Water assets_46447</v>
      </c>
      <c r="AQ339" t="str">
        <f t="shared" si="111"/>
        <v>Labour_46447</v>
      </c>
    </row>
    <row r="340" spans="31:43" ht="15.6" thickTop="1" thickBot="1">
      <c r="AE340" s="59" t="str">
        <f t="shared" si="112"/>
        <v>Water assets</v>
      </c>
      <c r="AF340" s="59" t="str">
        <f t="shared" si="120"/>
        <v>Engineering design</v>
      </c>
      <c r="AG340" s="60">
        <f>AG339</f>
        <v>46447</v>
      </c>
      <c r="AH340" s="79">
        <f ca="1">IFERROR(INDEX('Core Inputs Interface'!$1:$1048576,MATCH($AE340,'Core Inputs Interface'!$H:$H,0),MATCH($AG340,'Core Inputs Interface'!$17:$17,0)),"")</f>
        <v>2785</v>
      </c>
      <c r="AI340" s="55">
        <f t="shared" si="118"/>
        <v>0</v>
      </c>
      <c r="AJ340" s="55" t="str">
        <f t="shared" si="114"/>
        <v>N/A</v>
      </c>
      <c r="AK340" s="55" t="str">
        <f t="shared" si="115"/>
        <v>N/A</v>
      </c>
      <c r="AL340" s="55" t="str">
        <f t="shared" ca="1" si="119"/>
        <v>N/A</v>
      </c>
      <c r="AM340" s="65">
        <f t="shared" ca="1" si="116"/>
        <v>0</v>
      </c>
      <c r="AN340" s="66">
        <f t="shared" ca="1" si="117"/>
        <v>0</v>
      </c>
      <c r="AO340" s="56">
        <f t="shared" ca="1" si="121"/>
        <v>0</v>
      </c>
      <c r="AP340" t="str">
        <f t="shared" si="110"/>
        <v>Water assets_46447</v>
      </c>
      <c r="AQ340" t="str">
        <f t="shared" si="111"/>
        <v>Engineering design_46447</v>
      </c>
    </row>
    <row r="341" spans="31:43" ht="15.6" thickTop="1" thickBot="1">
      <c r="AE341" s="59" t="str">
        <f t="shared" si="112"/>
        <v>Water assets</v>
      </c>
      <c r="AF341" s="59" t="str">
        <f t="shared" si="120"/>
        <v>Reinforcing bar</v>
      </c>
      <c r="AG341" s="60">
        <f t="shared" ref="AG341:AG358" si="122">AG340</f>
        <v>46447</v>
      </c>
      <c r="AH341" s="79">
        <f ca="1">IFERROR(INDEX('Core Inputs Interface'!$1:$1048576,MATCH($AE341,'Core Inputs Interface'!$H:$H,0),MATCH($AG341,'Core Inputs Interface'!$17:$17,0)),"")</f>
        <v>2785</v>
      </c>
      <c r="AI341" s="55">
        <f t="shared" si="118"/>
        <v>0</v>
      </c>
      <c r="AJ341" s="55">
        <f t="shared" si="114"/>
        <v>8.4066217963502693E-2</v>
      </c>
      <c r="AK341" s="55">
        <f t="shared" si="115"/>
        <v>0.6</v>
      </c>
      <c r="AL341" s="55">
        <f t="shared" ca="1" si="119"/>
        <v>0.25</v>
      </c>
      <c r="AM341" s="65">
        <f t="shared" ca="1" si="116"/>
        <v>0</v>
      </c>
      <c r="AN341" s="66">
        <f t="shared" ca="1" si="117"/>
        <v>0</v>
      </c>
      <c r="AO341" s="56">
        <f t="shared" ca="1" si="121"/>
        <v>0</v>
      </c>
      <c r="AP341" t="str">
        <f t="shared" si="110"/>
        <v>Water assets_46447</v>
      </c>
      <c r="AQ341" t="str">
        <f t="shared" si="111"/>
        <v>Reinforcing bar_46447</v>
      </c>
    </row>
    <row r="342" spans="31:43" ht="15.6" thickTop="1" thickBot="1">
      <c r="AE342" s="59" t="str">
        <f t="shared" si="112"/>
        <v>Water assets</v>
      </c>
      <c r="AF342" s="59" t="str">
        <f t="shared" si="120"/>
        <v>Structural steel</v>
      </c>
      <c r="AG342" s="60">
        <f t="shared" si="122"/>
        <v>46447</v>
      </c>
      <c r="AH342" s="79">
        <f ca="1">IFERROR(INDEX('Core Inputs Interface'!$1:$1048576,MATCH($AE342,'Core Inputs Interface'!$H:$H,0),MATCH($AG342,'Core Inputs Interface'!$17:$17,0)),"")</f>
        <v>2785</v>
      </c>
      <c r="AI342" s="55">
        <f t="shared" si="118"/>
        <v>0.05</v>
      </c>
      <c r="AJ342" s="55">
        <f t="shared" si="114"/>
        <v>0.52500514810102583</v>
      </c>
      <c r="AK342" s="55">
        <f t="shared" si="115"/>
        <v>0.6</v>
      </c>
      <c r="AL342" s="55">
        <f t="shared" ca="1" si="119"/>
        <v>0.25</v>
      </c>
      <c r="AM342" s="65">
        <f t="shared" ca="1" si="116"/>
        <v>10.966045030960176</v>
      </c>
      <c r="AN342" s="66">
        <f t="shared" ca="1" si="117"/>
        <v>139.25</v>
      </c>
      <c r="AO342" s="56">
        <f t="shared" ca="1" si="121"/>
        <v>7.8750772215153864E-2</v>
      </c>
      <c r="AP342" t="str">
        <f t="shared" si="110"/>
        <v>Water assets_46447</v>
      </c>
      <c r="AQ342" t="str">
        <f t="shared" si="111"/>
        <v>Structural steel_46447</v>
      </c>
    </row>
    <row r="343" spans="31:43" ht="15.6" thickTop="1" thickBot="1">
      <c r="AE343" s="59" t="str">
        <f t="shared" si="112"/>
        <v>Water assets</v>
      </c>
      <c r="AF343" s="59" t="str">
        <f t="shared" si="120"/>
        <v>Quarry Material</v>
      </c>
      <c r="AG343" s="60">
        <f t="shared" si="122"/>
        <v>46447</v>
      </c>
      <c r="AH343" s="79">
        <f ca="1">IFERROR(INDEX('Core Inputs Interface'!$1:$1048576,MATCH($AE343,'Core Inputs Interface'!$H:$H,0),MATCH($AG343,'Core Inputs Interface'!$17:$17,0)),"")</f>
        <v>2785</v>
      </c>
      <c r="AI343" s="55">
        <f t="shared" si="118"/>
        <v>0</v>
      </c>
      <c r="AJ343" s="55">
        <f t="shared" si="114"/>
        <v>9.1004090556242881E-2</v>
      </c>
      <c r="AK343" s="55">
        <f t="shared" si="115"/>
        <v>0.6</v>
      </c>
      <c r="AL343" s="55">
        <f t="shared" ca="1" si="119"/>
        <v>0.25</v>
      </c>
      <c r="AM343" s="65">
        <f t="shared" ca="1" si="116"/>
        <v>0</v>
      </c>
      <c r="AN343" s="66">
        <f t="shared" ca="1" si="117"/>
        <v>0</v>
      </c>
      <c r="AO343" s="56">
        <f t="shared" ca="1" si="121"/>
        <v>0</v>
      </c>
      <c r="AP343" t="str">
        <f t="shared" si="110"/>
        <v>Water assets_46447</v>
      </c>
      <c r="AQ343" t="str">
        <f t="shared" si="111"/>
        <v>Quarry Material_46447</v>
      </c>
    </row>
    <row r="344" spans="31:43" ht="15.6" thickTop="1" thickBot="1">
      <c r="AE344" s="59" t="str">
        <f t="shared" si="112"/>
        <v>Water assets</v>
      </c>
      <c r="AF344" s="59" t="str">
        <f t="shared" si="120"/>
        <v>Concrete</v>
      </c>
      <c r="AG344" s="60">
        <f t="shared" si="122"/>
        <v>46447</v>
      </c>
      <c r="AH344" s="79">
        <f ca="1">IFERROR(INDEX('Core Inputs Interface'!$1:$1048576,MATCH($AE344,'Core Inputs Interface'!$H:$H,0),MATCH($AG344,'Core Inputs Interface'!$17:$17,0)),"")</f>
        <v>2785</v>
      </c>
      <c r="AI344" s="55">
        <f t="shared" si="118"/>
        <v>0.05</v>
      </c>
      <c r="AJ344" s="55">
        <f t="shared" si="114"/>
        <v>1.1472584695084088E-2</v>
      </c>
      <c r="AK344" s="55">
        <f t="shared" si="115"/>
        <v>0.6</v>
      </c>
      <c r="AL344" s="55">
        <f t="shared" ca="1" si="119"/>
        <v>0.25</v>
      </c>
      <c r="AM344" s="65">
        <f t="shared" ca="1" si="116"/>
        <v>0.23963361281856888</v>
      </c>
      <c r="AN344" s="66">
        <f t="shared" ca="1" si="117"/>
        <v>139.25</v>
      </c>
      <c r="AO344" s="56">
        <f t="shared" ca="1" si="121"/>
        <v>1.720887704262613E-3</v>
      </c>
      <c r="AP344" t="str">
        <f t="shared" si="110"/>
        <v>Water assets_46447</v>
      </c>
      <c r="AQ344" t="str">
        <f t="shared" si="111"/>
        <v>Concrete_46447</v>
      </c>
    </row>
    <row r="345" spans="31:43" ht="15.6" thickTop="1" thickBot="1">
      <c r="AE345" s="59" t="str">
        <f t="shared" si="112"/>
        <v>Water assets</v>
      </c>
      <c r="AF345" s="59" t="str">
        <f t="shared" si="120"/>
        <v>Masonry</v>
      </c>
      <c r="AG345" s="60">
        <f t="shared" si="122"/>
        <v>46447</v>
      </c>
      <c r="AH345" s="79">
        <f ca="1">IFERROR(INDEX('Core Inputs Interface'!$1:$1048576,MATCH($AE345,'Core Inputs Interface'!$H:$H,0),MATCH($AG345,'Core Inputs Interface'!$17:$17,0)),"")</f>
        <v>2785</v>
      </c>
      <c r="AI345" s="55">
        <f t="shared" si="118"/>
        <v>0</v>
      </c>
      <c r="AJ345" s="55">
        <f t="shared" si="114"/>
        <v>9.8410961434768088E-2</v>
      </c>
      <c r="AK345" s="55">
        <f t="shared" si="115"/>
        <v>0.6</v>
      </c>
      <c r="AL345" s="55">
        <f t="shared" ca="1" si="119"/>
        <v>0.25</v>
      </c>
      <c r="AM345" s="65">
        <f t="shared" ca="1" si="116"/>
        <v>0</v>
      </c>
      <c r="AN345" s="66">
        <f t="shared" ca="1" si="117"/>
        <v>0</v>
      </c>
      <c r="AO345" s="56">
        <f t="shared" ca="1" si="121"/>
        <v>0</v>
      </c>
      <c r="AP345" t="str">
        <f t="shared" si="110"/>
        <v>Water assets_46447</v>
      </c>
      <c r="AQ345" t="str">
        <f t="shared" si="111"/>
        <v>Masonry_46447</v>
      </c>
    </row>
    <row r="346" spans="31:43" ht="15.6" thickTop="1" thickBot="1">
      <c r="AE346" s="59" t="str">
        <f t="shared" si="112"/>
        <v>Water assets</v>
      </c>
      <c r="AF346" s="59" t="str">
        <f t="shared" si="120"/>
        <v>Wood</v>
      </c>
      <c r="AG346" s="60">
        <f t="shared" si="122"/>
        <v>46447</v>
      </c>
      <c r="AH346" s="79">
        <f ca="1">IFERROR(INDEX('Core Inputs Interface'!$1:$1048576,MATCH($AE346,'Core Inputs Interface'!$H:$H,0),MATCH($AG346,'Core Inputs Interface'!$17:$17,0)),"")</f>
        <v>2785</v>
      </c>
      <c r="AI346" s="55">
        <f t="shared" si="118"/>
        <v>0</v>
      </c>
      <c r="AJ346" s="55">
        <f t="shared" si="114"/>
        <v>0.13840817436677436</v>
      </c>
      <c r="AK346" s="55">
        <f t="shared" si="115"/>
        <v>0.6</v>
      </c>
      <c r="AL346" s="55">
        <f t="shared" ca="1" si="119"/>
        <v>0.25</v>
      </c>
      <c r="AM346" s="65">
        <f t="shared" ca="1" si="116"/>
        <v>0</v>
      </c>
      <c r="AN346" s="66">
        <f t="shared" ca="1" si="117"/>
        <v>0</v>
      </c>
      <c r="AO346" s="56">
        <f t="shared" ca="1" si="121"/>
        <v>0</v>
      </c>
      <c r="AP346" t="str">
        <f t="shared" si="110"/>
        <v>Water assets_46447</v>
      </c>
      <c r="AQ346" t="str">
        <f t="shared" si="111"/>
        <v>Wood_46447</v>
      </c>
    </row>
    <row r="347" spans="31:43" ht="15.6" thickTop="1" thickBot="1">
      <c r="AE347" s="59" t="str">
        <f t="shared" si="112"/>
        <v>Water assets</v>
      </c>
      <c r="AF347" s="59" t="str">
        <f t="shared" si="120"/>
        <v>Electrical wire</v>
      </c>
      <c r="AG347" s="60">
        <f t="shared" si="122"/>
        <v>46447</v>
      </c>
      <c r="AH347" s="79">
        <f ca="1">IFERROR(INDEX('Core Inputs Interface'!$1:$1048576,MATCH($AE347,'Core Inputs Interface'!$H:$H,0),MATCH($AG347,'Core Inputs Interface'!$17:$17,0)),"")</f>
        <v>2785</v>
      </c>
      <c r="AI347" s="55">
        <f t="shared" si="118"/>
        <v>0.01</v>
      </c>
      <c r="AJ347" s="55">
        <f t="shared" si="114"/>
        <v>0.80654510583379313</v>
      </c>
      <c r="AK347" s="55">
        <f t="shared" si="115"/>
        <v>0.6</v>
      </c>
      <c r="AL347" s="55">
        <f t="shared" ca="1" si="119"/>
        <v>0.25</v>
      </c>
      <c r="AM347" s="65">
        <f t="shared" ca="1" si="116"/>
        <v>3.3693421796206708</v>
      </c>
      <c r="AN347" s="66">
        <f t="shared" ca="1" si="117"/>
        <v>27.85</v>
      </c>
      <c r="AO347" s="56">
        <f t="shared" ca="1" si="121"/>
        <v>0.12098176587506897</v>
      </c>
      <c r="AP347" t="str">
        <f t="shared" si="110"/>
        <v>Water assets_46447</v>
      </c>
      <c r="AQ347" t="str">
        <f t="shared" si="111"/>
        <v>Electrical wire_46447</v>
      </c>
    </row>
    <row r="348" spans="31:43" ht="15.6" thickTop="1" thickBot="1">
      <c r="AE348" s="59" t="str">
        <f t="shared" si="112"/>
        <v>Water assets</v>
      </c>
      <c r="AF348" s="59" t="str">
        <f t="shared" si="120"/>
        <v>Glass</v>
      </c>
      <c r="AG348" s="60">
        <f t="shared" si="122"/>
        <v>46447</v>
      </c>
      <c r="AH348" s="79">
        <f ca="1">IFERROR(INDEX('Core Inputs Interface'!$1:$1048576,MATCH($AE348,'Core Inputs Interface'!$H:$H,0),MATCH($AG348,'Core Inputs Interface'!$17:$17,0)),"")</f>
        <v>2785</v>
      </c>
      <c r="AI348" s="55">
        <f t="shared" si="118"/>
        <v>0</v>
      </c>
      <c r="AJ348" s="55">
        <f t="shared" si="114"/>
        <v>0.24210307145623419</v>
      </c>
      <c r="AK348" s="55">
        <f t="shared" si="115"/>
        <v>0.6</v>
      </c>
      <c r="AL348" s="55">
        <f t="shared" ca="1" si="119"/>
        <v>0.25</v>
      </c>
      <c r="AM348" s="65">
        <f t="shared" ca="1" si="116"/>
        <v>0</v>
      </c>
      <c r="AN348" s="66">
        <f t="shared" ca="1" si="117"/>
        <v>0</v>
      </c>
      <c r="AO348" s="56">
        <f t="shared" ca="1" si="121"/>
        <v>0</v>
      </c>
      <c r="AP348" t="str">
        <f t="shared" si="110"/>
        <v>Water assets_46447</v>
      </c>
      <c r="AQ348" t="str">
        <f t="shared" si="111"/>
        <v>Glass_46447</v>
      </c>
    </row>
    <row r="349" spans="31:43" ht="15.6" thickTop="1" thickBot="1">
      <c r="AE349" s="59" t="str">
        <f t="shared" si="112"/>
        <v>Water assets</v>
      </c>
      <c r="AF349" s="59" t="str">
        <f t="shared" si="120"/>
        <v>Roofing</v>
      </c>
      <c r="AG349" s="60">
        <f t="shared" si="122"/>
        <v>46447</v>
      </c>
      <c r="AH349" s="79">
        <f ca="1">IFERROR(INDEX('Core Inputs Interface'!$1:$1048576,MATCH($AE349,'Core Inputs Interface'!$H:$H,0),MATCH($AG349,'Core Inputs Interface'!$17:$17,0)),"")</f>
        <v>2785</v>
      </c>
      <c r="AI349" s="55">
        <f t="shared" si="118"/>
        <v>0</v>
      </c>
      <c r="AJ349" s="55">
        <f t="shared" si="114"/>
        <v>2.4772729573316262E-4</v>
      </c>
      <c r="AK349" s="55">
        <f t="shared" si="115"/>
        <v>0.6</v>
      </c>
      <c r="AL349" s="55">
        <f t="shared" ca="1" si="119"/>
        <v>0.25</v>
      </c>
      <c r="AM349" s="65">
        <f t="shared" ca="1" si="116"/>
        <v>0</v>
      </c>
      <c r="AN349" s="66">
        <f t="shared" ca="1" si="117"/>
        <v>0</v>
      </c>
      <c r="AO349" s="56">
        <f t="shared" ca="1" si="121"/>
        <v>0</v>
      </c>
      <c r="AP349" t="str">
        <f t="shared" si="110"/>
        <v>Water assets_46447</v>
      </c>
      <c r="AQ349" t="str">
        <f t="shared" si="111"/>
        <v>Roofing_46447</v>
      </c>
    </row>
    <row r="350" spans="31:43" ht="15.6" thickTop="1" thickBot="1">
      <c r="AE350" s="59" t="str">
        <f t="shared" si="112"/>
        <v>Water assets</v>
      </c>
      <c r="AF350" s="59" t="str">
        <f t="shared" si="120"/>
        <v>Interior</v>
      </c>
      <c r="AG350" s="60">
        <f t="shared" si="122"/>
        <v>46447</v>
      </c>
      <c r="AH350" s="79">
        <f ca="1">IFERROR(INDEX('Core Inputs Interface'!$1:$1048576,MATCH($AE350,'Core Inputs Interface'!$H:$H,0),MATCH($AG350,'Core Inputs Interface'!$17:$17,0)),"")</f>
        <v>2785</v>
      </c>
      <c r="AI350" s="55">
        <f t="shared" si="118"/>
        <v>0</v>
      </c>
      <c r="AJ350" s="55">
        <f t="shared" si="114"/>
        <v>0.54050345117059384</v>
      </c>
      <c r="AK350" s="55">
        <f t="shared" si="115"/>
        <v>0.6</v>
      </c>
      <c r="AL350" s="55">
        <f t="shared" ca="1" si="119"/>
        <v>0.25</v>
      </c>
      <c r="AM350" s="65">
        <f t="shared" ca="1" si="116"/>
        <v>0</v>
      </c>
      <c r="AN350" s="66">
        <f t="shared" ca="1" si="117"/>
        <v>0</v>
      </c>
      <c r="AO350" s="56">
        <f t="shared" ca="1" si="121"/>
        <v>0</v>
      </c>
      <c r="AP350" t="str">
        <f t="shared" si="110"/>
        <v>Water assets_46447</v>
      </c>
      <c r="AQ350" t="str">
        <f t="shared" si="111"/>
        <v>Interior_46447</v>
      </c>
    </row>
    <row r="351" spans="31:43" ht="15.6" thickTop="1" thickBot="1">
      <c r="AE351" s="59" t="str">
        <f t="shared" si="112"/>
        <v>Water assets</v>
      </c>
      <c r="AF351" s="59" t="str">
        <f t="shared" si="120"/>
        <v>Bitumen</v>
      </c>
      <c r="AG351" s="60">
        <f t="shared" si="122"/>
        <v>46447</v>
      </c>
      <c r="AH351" s="79">
        <f ca="1">IFERROR(INDEX('Core Inputs Interface'!$1:$1048576,MATCH($AE351,'Core Inputs Interface'!$H:$H,0),MATCH($AG351,'Core Inputs Interface'!$17:$17,0)),"")</f>
        <v>2785</v>
      </c>
      <c r="AI351" s="55">
        <f t="shared" si="118"/>
        <v>0</v>
      </c>
      <c r="AJ351" s="55">
        <f t="shared" si="114"/>
        <v>0.14985905317691026</v>
      </c>
      <c r="AK351" s="55">
        <f t="shared" si="115"/>
        <v>0.6</v>
      </c>
      <c r="AL351" s="55">
        <f t="shared" ca="1" si="119"/>
        <v>0.25</v>
      </c>
      <c r="AM351" s="65">
        <f t="shared" ca="1" si="116"/>
        <v>0</v>
      </c>
      <c r="AN351" s="66">
        <f t="shared" ca="1" si="117"/>
        <v>0</v>
      </c>
      <c r="AO351" s="56">
        <f t="shared" ca="1" si="121"/>
        <v>0</v>
      </c>
      <c r="AP351" t="str">
        <f t="shared" si="110"/>
        <v>Water assets_46447</v>
      </c>
      <c r="AQ351" t="str">
        <f t="shared" si="111"/>
        <v>Bitumen_46447</v>
      </c>
    </row>
    <row r="352" spans="31:43" ht="15.6" thickTop="1" thickBot="1">
      <c r="AE352" s="59" t="str">
        <f t="shared" si="112"/>
        <v>Water assets</v>
      </c>
      <c r="AF352" s="59" t="str">
        <f t="shared" si="120"/>
        <v>Polyethylene pipes</v>
      </c>
      <c r="AG352" s="60">
        <f t="shared" si="122"/>
        <v>46447</v>
      </c>
      <c r="AH352" s="79">
        <f ca="1">IFERROR(INDEX('Core Inputs Interface'!$1:$1048576,MATCH($AE352,'Core Inputs Interface'!$H:$H,0),MATCH($AG352,'Core Inputs Interface'!$17:$17,0)),"")</f>
        <v>2785</v>
      </c>
      <c r="AI352" s="55">
        <f t="shared" si="118"/>
        <v>0.09</v>
      </c>
      <c r="AJ352" s="55">
        <f t="shared" si="114"/>
        <v>0.12828361767948987</v>
      </c>
      <c r="AK352" s="55">
        <f t="shared" si="115"/>
        <v>0.6</v>
      </c>
      <c r="AL352" s="55">
        <f t="shared" ca="1" si="119"/>
        <v>0.25</v>
      </c>
      <c r="AM352" s="65">
        <f t="shared" ca="1" si="116"/>
        <v>4.8231433157046206</v>
      </c>
      <c r="AN352" s="66">
        <f t="shared" ca="1" si="117"/>
        <v>250.64999999999998</v>
      </c>
      <c r="AO352" s="56">
        <f t="shared" ca="1" si="121"/>
        <v>1.9242542651923482E-2</v>
      </c>
      <c r="AP352" t="str">
        <f t="shared" si="110"/>
        <v>Water assets_46447</v>
      </c>
      <c r="AQ352" t="str">
        <f t="shared" si="111"/>
        <v>Polyethylene pipes_46447</v>
      </c>
    </row>
    <row r="353" spans="30:43" ht="15.6" thickTop="1" thickBot="1">
      <c r="AE353" s="59" t="str">
        <f t="shared" si="112"/>
        <v>Water assets</v>
      </c>
      <c r="AF353" s="59" t="str">
        <f t="shared" si="120"/>
        <v>Plant and equipment</v>
      </c>
      <c r="AG353" s="60">
        <f t="shared" si="122"/>
        <v>46447</v>
      </c>
      <c r="AH353" s="79">
        <f ca="1">IFERROR(INDEX('Core Inputs Interface'!$1:$1048576,MATCH($AE353,'Core Inputs Interface'!$H:$H,0),MATCH($AG353,'Core Inputs Interface'!$17:$17,0)),"")</f>
        <v>2785</v>
      </c>
      <c r="AI353" s="55">
        <f t="shared" si="118"/>
        <v>0.08</v>
      </c>
      <c r="AJ353" s="55">
        <f t="shared" si="114"/>
        <v>0.31546495432215926</v>
      </c>
      <c r="AK353" s="55">
        <f t="shared" si="115"/>
        <v>0.8</v>
      </c>
      <c r="AL353" s="55">
        <f t="shared" ca="1" si="119"/>
        <v>0.25</v>
      </c>
      <c r="AM353" s="65">
        <f t="shared" ca="1" si="116"/>
        <v>14.057118364595418</v>
      </c>
      <c r="AN353" s="66">
        <f t="shared" ca="1" si="117"/>
        <v>222.8</v>
      </c>
      <c r="AO353" s="56">
        <f t="shared" ca="1" si="121"/>
        <v>6.3092990864431861E-2</v>
      </c>
      <c r="AP353" t="str">
        <f t="shared" si="110"/>
        <v>Water assets_46447</v>
      </c>
      <c r="AQ353" t="str">
        <f t="shared" si="111"/>
        <v>Plant and equipment_46447</v>
      </c>
    </row>
    <row r="354" spans="30:43" ht="15.6" thickTop="1" thickBot="1">
      <c r="AE354" s="59" t="str">
        <f t="shared" si="112"/>
        <v>Water assets</v>
      </c>
      <c r="AF354" s="59" t="str">
        <f t="shared" si="120"/>
        <v>Electrical equipment</v>
      </c>
      <c r="AG354" s="60">
        <f t="shared" si="122"/>
        <v>46447</v>
      </c>
      <c r="AH354" s="79">
        <f ca="1">IFERROR(INDEX('Core Inputs Interface'!$1:$1048576,MATCH($AE354,'Core Inputs Interface'!$H:$H,0),MATCH($AG354,'Core Inputs Interface'!$17:$17,0)),"")</f>
        <v>2785</v>
      </c>
      <c r="AI354" s="55">
        <f t="shared" si="118"/>
        <v>0</v>
      </c>
      <c r="AJ354" s="55">
        <f t="shared" si="114"/>
        <v>0.48556692694591386</v>
      </c>
      <c r="AK354" s="55">
        <f t="shared" si="115"/>
        <v>0.8</v>
      </c>
      <c r="AL354" s="55">
        <f t="shared" ca="1" si="119"/>
        <v>0.25</v>
      </c>
      <c r="AM354" s="65">
        <f t="shared" ca="1" si="116"/>
        <v>0</v>
      </c>
      <c r="AN354" s="66">
        <f t="shared" ca="1" si="117"/>
        <v>0</v>
      </c>
      <c r="AO354" s="56">
        <f t="shared" ca="1" si="121"/>
        <v>0</v>
      </c>
      <c r="AP354" t="str">
        <f t="shared" si="110"/>
        <v>Water assets_46447</v>
      </c>
      <c r="AQ354" t="str">
        <f t="shared" si="111"/>
        <v>Electrical equipment_46447</v>
      </c>
    </row>
    <row r="355" spans="30:43" ht="15.6" thickTop="1" thickBot="1">
      <c r="AE355" s="59" t="str">
        <f t="shared" si="112"/>
        <v>Water assets</v>
      </c>
      <c r="AF355" s="59" t="str">
        <f t="shared" si="120"/>
        <v>Road equipment</v>
      </c>
      <c r="AG355" s="60">
        <f t="shared" si="122"/>
        <v>46447</v>
      </c>
      <c r="AH355" s="79">
        <f ca="1">IFERROR(INDEX('Core Inputs Interface'!$1:$1048576,MATCH($AE355,'Core Inputs Interface'!$H:$H,0),MATCH($AG355,'Core Inputs Interface'!$17:$17,0)),"")</f>
        <v>2785</v>
      </c>
      <c r="AI355" s="55">
        <f t="shared" si="118"/>
        <v>0</v>
      </c>
      <c r="AJ355" s="55">
        <f t="shared" si="114"/>
        <v>0.23440288076987165</v>
      </c>
      <c r="AK355" s="55">
        <f t="shared" si="115"/>
        <v>0.8</v>
      </c>
      <c r="AL355" s="55">
        <f t="shared" ca="1" si="119"/>
        <v>0.25</v>
      </c>
      <c r="AM355" s="65">
        <f t="shared" ca="1" si="116"/>
        <v>0</v>
      </c>
      <c r="AN355" s="66">
        <f t="shared" ca="1" si="117"/>
        <v>0</v>
      </c>
      <c r="AO355" s="56">
        <f t="shared" ca="1" si="121"/>
        <v>0</v>
      </c>
      <c r="AP355" t="str">
        <f t="shared" si="110"/>
        <v>Water assets_46447</v>
      </c>
      <c r="AQ355" t="str">
        <f t="shared" si="111"/>
        <v>Road equipment_46447</v>
      </c>
    </row>
    <row r="356" spans="30:43" ht="15.6" thickTop="1" thickBot="1">
      <c r="AE356" s="59" t="str">
        <f t="shared" si="112"/>
        <v>Water assets</v>
      </c>
      <c r="AF356" s="59" t="str">
        <f t="shared" si="120"/>
        <v>Water equipment</v>
      </c>
      <c r="AG356" s="60">
        <f t="shared" si="122"/>
        <v>46447</v>
      </c>
      <c r="AH356" s="79">
        <f ca="1">IFERROR(INDEX('Core Inputs Interface'!$1:$1048576,MATCH($AE356,'Core Inputs Interface'!$H:$H,0),MATCH($AG356,'Core Inputs Interface'!$17:$17,0)),"")</f>
        <v>2785</v>
      </c>
      <c r="AI356" s="55">
        <f t="shared" si="118"/>
        <v>7.0000000000000007E-2</v>
      </c>
      <c r="AJ356" s="55">
        <f t="shared" si="114"/>
        <v>0.53411483886586031</v>
      </c>
      <c r="AK356" s="55">
        <f t="shared" si="115"/>
        <v>0.8</v>
      </c>
      <c r="AL356" s="55">
        <f t="shared" ca="1" si="119"/>
        <v>0.25</v>
      </c>
      <c r="AM356" s="65">
        <f t="shared" ca="1" si="116"/>
        <v>20.825137567379898</v>
      </c>
      <c r="AN356" s="66">
        <f t="shared" ca="1" si="117"/>
        <v>194.95000000000002</v>
      </c>
      <c r="AO356" s="56">
        <f t="shared" ca="1" si="121"/>
        <v>0.10682296777317207</v>
      </c>
      <c r="AP356" t="str">
        <f t="shared" si="110"/>
        <v>Water assets_46447</v>
      </c>
      <c r="AQ356" t="str">
        <f t="shared" si="111"/>
        <v>Water equipment_46447</v>
      </c>
    </row>
    <row r="357" spans="30:43" ht="15.6" thickTop="1" thickBot="1">
      <c r="AE357" s="59" t="str">
        <f t="shared" si="112"/>
        <v>Water assets</v>
      </c>
      <c r="AF357" s="59" t="str">
        <f t="shared" si="120"/>
        <v>Diesel</v>
      </c>
      <c r="AG357" s="60">
        <f t="shared" si="122"/>
        <v>46447</v>
      </c>
      <c r="AH357" s="79">
        <f ca="1">IFERROR(INDEX('Core Inputs Interface'!$1:$1048576,MATCH($AE357,'Core Inputs Interface'!$H:$H,0),MATCH($AG357,'Core Inputs Interface'!$17:$17,0)),"")</f>
        <v>2785</v>
      </c>
      <c r="AI357" s="55">
        <f t="shared" si="118"/>
        <v>0.05</v>
      </c>
      <c r="AJ357" s="55">
        <f t="shared" si="114"/>
        <v>0.45356302165418505</v>
      </c>
      <c r="AK357" s="55">
        <f t="shared" si="115"/>
        <v>0.6</v>
      </c>
      <c r="AL357" s="55">
        <f t="shared" ca="1" si="119"/>
        <v>0.1</v>
      </c>
      <c r="AM357" s="65">
        <f t="shared" ca="1" si="116"/>
        <v>3.7895190459207164</v>
      </c>
      <c r="AN357" s="66">
        <f t="shared" ca="1" si="117"/>
        <v>139.25</v>
      </c>
      <c r="AO357" s="56">
        <f t="shared" ca="1" si="121"/>
        <v>2.7213781299251106E-2</v>
      </c>
      <c r="AP357" t="str">
        <f t="shared" si="110"/>
        <v>Water assets_46447</v>
      </c>
      <c r="AQ357" t="str">
        <f t="shared" si="111"/>
        <v>Diesel_46447</v>
      </c>
    </row>
    <row r="358" spans="30:43" ht="15.6" thickTop="1" thickBot="1">
      <c r="AE358" s="59" t="str">
        <f t="shared" si="112"/>
        <v>Water assets</v>
      </c>
      <c r="AF358" s="59" t="str">
        <f t="shared" si="120"/>
        <v>Vehicles</v>
      </c>
      <c r="AG358" s="60">
        <f t="shared" si="122"/>
        <v>46447</v>
      </c>
      <c r="AH358" s="79">
        <f ca="1">IFERROR(INDEX('Core Inputs Interface'!$1:$1048576,MATCH($AE358,'Core Inputs Interface'!$H:$H,0),MATCH($AG358,'Core Inputs Interface'!$17:$17,0)),"")</f>
        <v>2785</v>
      </c>
      <c r="AI358" s="55">
        <f t="shared" si="118"/>
        <v>0</v>
      </c>
      <c r="AJ358" s="55">
        <f t="shared" si="114"/>
        <v>0.52451068102476561</v>
      </c>
      <c r="AK358" s="55">
        <f t="shared" si="115"/>
        <v>0.8</v>
      </c>
      <c r="AL358" s="55">
        <f t="shared" ca="1" si="119"/>
        <v>0.25</v>
      </c>
      <c r="AM358" s="65">
        <f t="shared" ca="1" si="116"/>
        <v>0</v>
      </c>
      <c r="AN358" s="66">
        <f t="shared" ca="1" si="117"/>
        <v>0</v>
      </c>
      <c r="AO358" s="56">
        <f t="shared" ca="1" si="121"/>
        <v>0</v>
      </c>
      <c r="AP358" t="str">
        <f t="shared" si="110"/>
        <v>Water assets_46447</v>
      </c>
      <c r="AQ358" t="str">
        <f t="shared" si="111"/>
        <v>Vehicles_46447</v>
      </c>
    </row>
    <row r="359" spans="30:43" ht="15.6" thickTop="1" thickBot="1">
      <c r="AE359" s="59" t="str">
        <f>AE358</f>
        <v>Water assets</v>
      </c>
      <c r="AF359" s="59" t="str">
        <f t="shared" ref="AF359:AF360" si="123">AF337</f>
        <v>Machinery &amp; Equipment</v>
      </c>
      <c r="AG359" s="60">
        <f>AG358</f>
        <v>46447</v>
      </c>
      <c r="AH359" s="79">
        <f ca="1">IFERROR(INDEX('Core Inputs Interface'!$1:$1048576,MATCH($AE359,'Core Inputs Interface'!$H:$H,0),MATCH($AG359,'Core Inputs Interface'!$17:$17,0)),"")</f>
        <v>2785</v>
      </c>
      <c r="AI359" s="55">
        <f t="shared" si="118"/>
        <v>0</v>
      </c>
      <c r="AJ359" s="55">
        <f t="shared" si="114"/>
        <v>0.39238740022595126</v>
      </c>
      <c r="AK359" s="55">
        <f t="shared" si="115"/>
        <v>0.8</v>
      </c>
      <c r="AL359" s="55">
        <f t="shared" ca="1" si="119"/>
        <v>0.25</v>
      </c>
      <c r="AM359" s="65">
        <f t="shared" ca="1" si="116"/>
        <v>0</v>
      </c>
      <c r="AN359" s="66">
        <f t="shared" ca="1" si="117"/>
        <v>0</v>
      </c>
      <c r="AO359" s="56">
        <f ca="1">IFERROR(AM359/AN359,0)</f>
        <v>0</v>
      </c>
      <c r="AP359" t="str">
        <f>_xlfn.TEXTJOIN("_",,$AE359,$AG359)</f>
        <v>Water assets_46447</v>
      </c>
      <c r="AQ359" t="str">
        <f>_xlfn.TEXTJOIN("_",,$AF359,$AG359)</f>
        <v>Machinery &amp; Equipment_46447</v>
      </c>
    </row>
    <row r="360" spans="30:43" ht="15.6" thickTop="1" thickBot="1">
      <c r="AE360" s="59" t="str">
        <f>AE359</f>
        <v>Water assets</v>
      </c>
      <c r="AF360" s="59" t="str">
        <f t="shared" si="123"/>
        <v>Office Equipment &amp; IT</v>
      </c>
      <c r="AG360" s="60">
        <f>AG359</f>
        <v>46447</v>
      </c>
      <c r="AH360" s="79">
        <f ca="1">IFERROR(INDEX('Core Inputs Interface'!$1:$1048576,MATCH($AE360,'Core Inputs Interface'!$H:$H,0),MATCH($AG360,'Core Inputs Interface'!$17:$17,0)),"")</f>
        <v>2785</v>
      </c>
      <c r="AI360" s="55">
        <f t="shared" si="118"/>
        <v>0</v>
      </c>
      <c r="AJ360" s="55">
        <f t="shared" si="114"/>
        <v>0.15</v>
      </c>
      <c r="AK360" s="55">
        <f t="shared" si="115"/>
        <v>0.8</v>
      </c>
      <c r="AL360" s="55">
        <f t="shared" ca="1" si="119"/>
        <v>0.25</v>
      </c>
      <c r="AM360" s="65">
        <f t="shared" ca="1" si="116"/>
        <v>0</v>
      </c>
      <c r="AN360" s="66">
        <f t="shared" ca="1" si="117"/>
        <v>0</v>
      </c>
      <c r="AO360" s="56">
        <f ca="1">IFERROR(AM360/AN360,0)</f>
        <v>0</v>
      </c>
      <c r="AP360" t="str">
        <f>_xlfn.TEXTJOIN("_",,$AE360,$AG360)</f>
        <v>Water assets_46447</v>
      </c>
      <c r="AQ360" t="str">
        <f>_xlfn.TEXTJOIN("_",,$AF360,$AG360)</f>
        <v>Office Equipment &amp; IT_46447</v>
      </c>
    </row>
    <row r="361" spans="30:43" ht="15.6" thickTop="1" thickBot="1">
      <c r="AD361">
        <f>AD317+1</f>
        <v>9</v>
      </c>
      <c r="AE361" s="57" t="str" cm="1">
        <f t="array" ref="AE361">INDEX($F$8:$Q$8,$AD361)</f>
        <v>Storm/Sanitary Sewers</v>
      </c>
      <c r="AF361" s="58" t="s">
        <v>66</v>
      </c>
      <c r="AG361" s="62">
        <v>46082</v>
      </c>
      <c r="AH361" s="79">
        <f ca="1">IFERROR(INDEX('Core Inputs Interface'!$1:$1048576,MATCH($AE361,'Core Inputs Interface'!$H:$H,0),MATCH($AG361,'Core Inputs Interface'!$17:$17,0)),"")</f>
        <v>4846</v>
      </c>
      <c r="AI361" s="55">
        <f t="shared" si="118"/>
        <v>0.6</v>
      </c>
      <c r="AJ361" s="55" t="str">
        <f t="shared" si="114"/>
        <v>N/A</v>
      </c>
      <c r="AK361" s="55" t="str">
        <f t="shared" si="115"/>
        <v>N/A</v>
      </c>
      <c r="AL361" s="55" t="str">
        <f t="shared" ca="1" si="119"/>
        <v>N/A</v>
      </c>
      <c r="AM361" s="65">
        <f t="shared" ca="1" si="116"/>
        <v>0</v>
      </c>
      <c r="AN361" s="66">
        <f t="shared" ca="1" si="117"/>
        <v>2907.6</v>
      </c>
      <c r="AO361" s="56">
        <f ca="1">IFERROR(AM361/AN361,0)</f>
        <v>0</v>
      </c>
      <c r="AP361" t="str">
        <f>_xlfn.TEXTJOIN("_",,$AE361,$AG361)</f>
        <v>Storm/Sanitary Sewers_46082</v>
      </c>
      <c r="AQ361" t="str">
        <f>_xlfn.TEXTJOIN("_",,$AF361,$AG361)</f>
        <v>Labour_46082</v>
      </c>
    </row>
    <row r="362" spans="30:43" ht="15.6" thickTop="1" thickBot="1">
      <c r="AE362" s="59" t="str">
        <f>AE361</f>
        <v>Storm/Sanitary Sewers</v>
      </c>
      <c r="AF362" s="58" t="s">
        <v>67</v>
      </c>
      <c r="AG362" s="60">
        <f>AG361</f>
        <v>46082</v>
      </c>
      <c r="AH362" s="79">
        <f ca="1">IFERROR(INDEX('Core Inputs Interface'!$1:$1048576,MATCH($AE362,'Core Inputs Interface'!$H:$H,0),MATCH($AG362,'Core Inputs Interface'!$17:$17,0)),"")</f>
        <v>4846</v>
      </c>
      <c r="AI362" s="55">
        <f t="shared" si="118"/>
        <v>0</v>
      </c>
      <c r="AJ362" s="55" t="str">
        <f t="shared" si="114"/>
        <v>N/A</v>
      </c>
      <c r="AK362" s="55" t="str">
        <f t="shared" si="115"/>
        <v>N/A</v>
      </c>
      <c r="AL362" s="55" t="str">
        <f t="shared" ca="1" si="119"/>
        <v>N/A</v>
      </c>
      <c r="AM362" s="65">
        <f t="shared" ca="1" si="116"/>
        <v>0</v>
      </c>
      <c r="AN362" s="66">
        <f t="shared" ca="1" si="117"/>
        <v>0</v>
      </c>
      <c r="AO362" s="56">
        <f t="shared" ref="AO362:AO380" ca="1" si="124">IFERROR(AM362/AN362,0)</f>
        <v>0</v>
      </c>
      <c r="AP362" t="str">
        <f t="shared" ref="AP362:AP402" si="125">_xlfn.TEXTJOIN("_",,$AE362,$AG362)</f>
        <v>Storm/Sanitary Sewers_46082</v>
      </c>
      <c r="AQ362" t="str">
        <f t="shared" ref="AQ362:AQ402" si="126">_xlfn.TEXTJOIN("_",,$AF362,$AG362)</f>
        <v>Engineering design_46082</v>
      </c>
    </row>
    <row r="363" spans="30:43" ht="15.6" thickTop="1" thickBot="1">
      <c r="AE363" s="59" t="str">
        <f t="shared" ref="AE363:AE402" si="127">AE362</f>
        <v>Storm/Sanitary Sewers</v>
      </c>
      <c r="AF363" s="58" t="s">
        <v>26</v>
      </c>
      <c r="AG363" s="60">
        <f t="shared" ref="AG363:AG380" si="128">AG362</f>
        <v>46082</v>
      </c>
      <c r="AH363" s="79">
        <f ca="1">IFERROR(INDEX('Core Inputs Interface'!$1:$1048576,MATCH($AE363,'Core Inputs Interface'!$H:$H,0),MATCH($AG363,'Core Inputs Interface'!$17:$17,0)),"")</f>
        <v>4846</v>
      </c>
      <c r="AI363" s="55">
        <f t="shared" si="118"/>
        <v>0</v>
      </c>
      <c r="AJ363" s="55">
        <f t="shared" si="114"/>
        <v>8.4066217963502693E-2</v>
      </c>
      <c r="AK363" s="55">
        <f t="shared" si="115"/>
        <v>0.6</v>
      </c>
      <c r="AL363" s="55">
        <f t="shared" ca="1" si="119"/>
        <v>0.25</v>
      </c>
      <c r="AM363" s="65">
        <f t="shared" ca="1" si="116"/>
        <v>0</v>
      </c>
      <c r="AN363" s="66">
        <f t="shared" ca="1" si="117"/>
        <v>0</v>
      </c>
      <c r="AO363" s="56">
        <f t="shared" ca="1" si="124"/>
        <v>0</v>
      </c>
      <c r="AP363" t="str">
        <f t="shared" si="125"/>
        <v>Storm/Sanitary Sewers_46082</v>
      </c>
      <c r="AQ363" t="str">
        <f t="shared" si="126"/>
        <v>Reinforcing bar_46082</v>
      </c>
    </row>
    <row r="364" spans="30:43" ht="15.6" thickTop="1" thickBot="1">
      <c r="AE364" s="59" t="str">
        <f t="shared" si="127"/>
        <v>Storm/Sanitary Sewers</v>
      </c>
      <c r="AF364" s="58" t="s">
        <v>27</v>
      </c>
      <c r="AG364" s="60">
        <f t="shared" si="128"/>
        <v>46082</v>
      </c>
      <c r="AH364" s="79">
        <f ca="1">IFERROR(INDEX('Core Inputs Interface'!$1:$1048576,MATCH($AE364,'Core Inputs Interface'!$H:$H,0),MATCH($AG364,'Core Inputs Interface'!$17:$17,0)),"")</f>
        <v>4846</v>
      </c>
      <c r="AI364" s="55">
        <f t="shared" si="118"/>
        <v>0.05</v>
      </c>
      <c r="AJ364" s="55">
        <f t="shared" si="114"/>
        <v>0.52500514810102583</v>
      </c>
      <c r="AK364" s="55">
        <f t="shared" si="115"/>
        <v>0.6</v>
      </c>
      <c r="AL364" s="55">
        <f t="shared" ca="1" si="119"/>
        <v>0.25</v>
      </c>
      <c r="AM364" s="65">
        <f t="shared" ca="1" si="116"/>
        <v>19.081312107731783</v>
      </c>
      <c r="AN364" s="66">
        <f t="shared" ca="1" si="117"/>
        <v>242.3</v>
      </c>
      <c r="AO364" s="56">
        <f t="shared" ca="1" si="124"/>
        <v>7.8750772215153864E-2</v>
      </c>
      <c r="AP364" t="str">
        <f t="shared" si="125"/>
        <v>Storm/Sanitary Sewers_46082</v>
      </c>
      <c r="AQ364" t="str">
        <f t="shared" si="126"/>
        <v>Structural steel_46082</v>
      </c>
    </row>
    <row r="365" spans="30:43" ht="15.6" thickTop="1" thickBot="1">
      <c r="AE365" s="59" t="str">
        <f t="shared" si="127"/>
        <v>Storm/Sanitary Sewers</v>
      </c>
      <c r="AF365" s="58" t="s">
        <v>28</v>
      </c>
      <c r="AG365" s="60">
        <f t="shared" si="128"/>
        <v>46082</v>
      </c>
      <c r="AH365" s="79">
        <f ca="1">IFERROR(INDEX('Core Inputs Interface'!$1:$1048576,MATCH($AE365,'Core Inputs Interface'!$H:$H,0),MATCH($AG365,'Core Inputs Interface'!$17:$17,0)),"")</f>
        <v>4846</v>
      </c>
      <c r="AI365" s="55">
        <f t="shared" si="118"/>
        <v>0</v>
      </c>
      <c r="AJ365" s="55">
        <f t="shared" si="114"/>
        <v>9.1004090556242881E-2</v>
      </c>
      <c r="AK365" s="55">
        <f t="shared" si="115"/>
        <v>0.6</v>
      </c>
      <c r="AL365" s="55">
        <f t="shared" ca="1" si="119"/>
        <v>0.25</v>
      </c>
      <c r="AM365" s="65">
        <f t="shared" ca="1" si="116"/>
        <v>0</v>
      </c>
      <c r="AN365" s="66">
        <f t="shared" ca="1" si="117"/>
        <v>0</v>
      </c>
      <c r="AO365" s="56">
        <f t="shared" ca="1" si="124"/>
        <v>0</v>
      </c>
      <c r="AP365" t="str">
        <f t="shared" si="125"/>
        <v>Storm/Sanitary Sewers_46082</v>
      </c>
      <c r="AQ365" t="str">
        <f t="shared" si="126"/>
        <v>Quarry Material_46082</v>
      </c>
    </row>
    <row r="366" spans="30:43" ht="15.6" thickTop="1" thickBot="1">
      <c r="AE366" s="59" t="str">
        <f t="shared" si="127"/>
        <v>Storm/Sanitary Sewers</v>
      </c>
      <c r="AF366" s="58" t="s">
        <v>30</v>
      </c>
      <c r="AG366" s="60">
        <f t="shared" si="128"/>
        <v>46082</v>
      </c>
      <c r="AH366" s="79">
        <f ca="1">IFERROR(INDEX('Core Inputs Interface'!$1:$1048576,MATCH($AE366,'Core Inputs Interface'!$H:$H,0),MATCH($AG366,'Core Inputs Interface'!$17:$17,0)),"")</f>
        <v>4846</v>
      </c>
      <c r="AI366" s="55">
        <f t="shared" si="118"/>
        <v>0.12</v>
      </c>
      <c r="AJ366" s="55">
        <f t="shared" si="114"/>
        <v>1.1472584695084088E-2</v>
      </c>
      <c r="AK366" s="55">
        <f t="shared" si="115"/>
        <v>0.6</v>
      </c>
      <c r="AL366" s="55">
        <f t="shared" ca="1" si="119"/>
        <v>0.25</v>
      </c>
      <c r="AM366" s="65">
        <f t="shared" ca="1" si="116"/>
        <v>1.0007306177827948</v>
      </c>
      <c r="AN366" s="66">
        <f t="shared" ca="1" si="117"/>
        <v>581.52</v>
      </c>
      <c r="AO366" s="56">
        <f t="shared" ca="1" si="124"/>
        <v>1.7208877042626132E-3</v>
      </c>
      <c r="AP366" t="str">
        <f t="shared" si="125"/>
        <v>Storm/Sanitary Sewers_46082</v>
      </c>
      <c r="AQ366" t="str">
        <f t="shared" si="126"/>
        <v>Concrete_46082</v>
      </c>
    </row>
    <row r="367" spans="30:43" ht="15.6" thickTop="1" thickBot="1">
      <c r="AE367" s="59" t="str">
        <f t="shared" si="127"/>
        <v>Storm/Sanitary Sewers</v>
      </c>
      <c r="AF367" s="57" t="s">
        <v>32</v>
      </c>
      <c r="AG367" s="60">
        <f t="shared" si="128"/>
        <v>46082</v>
      </c>
      <c r="AH367" s="79">
        <f ca="1">IFERROR(INDEX('Core Inputs Interface'!$1:$1048576,MATCH($AE367,'Core Inputs Interface'!$H:$H,0),MATCH($AG367,'Core Inputs Interface'!$17:$17,0)),"")</f>
        <v>4846</v>
      </c>
      <c r="AI367" s="55">
        <f t="shared" si="118"/>
        <v>0</v>
      </c>
      <c r="AJ367" s="55">
        <f t="shared" si="114"/>
        <v>9.8410961434768088E-2</v>
      </c>
      <c r="AK367" s="55">
        <f t="shared" si="115"/>
        <v>0.6</v>
      </c>
      <c r="AL367" s="55">
        <f t="shared" ca="1" si="119"/>
        <v>0.25</v>
      </c>
      <c r="AM367" s="65">
        <f t="shared" ca="1" si="116"/>
        <v>0</v>
      </c>
      <c r="AN367" s="66">
        <f t="shared" ca="1" si="117"/>
        <v>0</v>
      </c>
      <c r="AO367" s="56">
        <f t="shared" ca="1" si="124"/>
        <v>0</v>
      </c>
      <c r="AP367" t="str">
        <f t="shared" si="125"/>
        <v>Storm/Sanitary Sewers_46082</v>
      </c>
      <c r="AQ367" t="str">
        <f t="shared" si="126"/>
        <v>Masonry_46082</v>
      </c>
    </row>
    <row r="368" spans="30:43" ht="15.6" thickTop="1" thickBot="1">
      <c r="AE368" s="59" t="str">
        <f t="shared" si="127"/>
        <v>Storm/Sanitary Sewers</v>
      </c>
      <c r="AF368" s="57" t="s">
        <v>34</v>
      </c>
      <c r="AG368" s="60">
        <f t="shared" si="128"/>
        <v>46082</v>
      </c>
      <c r="AH368" s="79">
        <f ca="1">IFERROR(INDEX('Core Inputs Interface'!$1:$1048576,MATCH($AE368,'Core Inputs Interface'!$H:$H,0),MATCH($AG368,'Core Inputs Interface'!$17:$17,0)),"")</f>
        <v>4846</v>
      </c>
      <c r="AI368" s="55">
        <f t="shared" si="118"/>
        <v>0</v>
      </c>
      <c r="AJ368" s="55">
        <f t="shared" si="114"/>
        <v>0.13840817436677436</v>
      </c>
      <c r="AK368" s="55">
        <f t="shared" si="115"/>
        <v>0.6</v>
      </c>
      <c r="AL368" s="55">
        <f t="shared" ca="1" si="119"/>
        <v>0.25</v>
      </c>
      <c r="AM368" s="65">
        <f t="shared" ca="1" si="116"/>
        <v>0</v>
      </c>
      <c r="AN368" s="66">
        <f t="shared" ca="1" si="117"/>
        <v>0</v>
      </c>
      <c r="AO368" s="56">
        <f t="shared" ca="1" si="124"/>
        <v>0</v>
      </c>
      <c r="AP368" t="str">
        <f t="shared" si="125"/>
        <v>Storm/Sanitary Sewers_46082</v>
      </c>
      <c r="AQ368" t="str">
        <f t="shared" si="126"/>
        <v>Wood_46082</v>
      </c>
    </row>
    <row r="369" spans="31:43" ht="15.6" thickTop="1" thickBot="1">
      <c r="AE369" s="59" t="str">
        <f t="shared" si="127"/>
        <v>Storm/Sanitary Sewers</v>
      </c>
      <c r="AF369" s="57" t="s">
        <v>36</v>
      </c>
      <c r="AG369" s="60">
        <f t="shared" si="128"/>
        <v>46082</v>
      </c>
      <c r="AH369" s="79">
        <f ca="1">IFERROR(INDEX('Core Inputs Interface'!$1:$1048576,MATCH($AE369,'Core Inputs Interface'!$H:$H,0),MATCH($AG369,'Core Inputs Interface'!$17:$17,0)),"")</f>
        <v>4846</v>
      </c>
      <c r="AI369" s="55">
        <f t="shared" si="118"/>
        <v>0.01</v>
      </c>
      <c r="AJ369" s="55">
        <f t="shared" si="114"/>
        <v>0.80654510583379313</v>
      </c>
      <c r="AK369" s="55">
        <f t="shared" si="115"/>
        <v>0.6</v>
      </c>
      <c r="AL369" s="55">
        <f t="shared" ca="1" si="119"/>
        <v>0.25</v>
      </c>
      <c r="AM369" s="65">
        <f t="shared" ca="1" si="116"/>
        <v>5.8627763743058425</v>
      </c>
      <c r="AN369" s="66">
        <f t="shared" ca="1" si="117"/>
        <v>48.46</v>
      </c>
      <c r="AO369" s="56">
        <f t="shared" ca="1" si="124"/>
        <v>0.12098176587506897</v>
      </c>
      <c r="AP369" t="str">
        <f t="shared" si="125"/>
        <v>Storm/Sanitary Sewers_46082</v>
      </c>
      <c r="AQ369" t="str">
        <f t="shared" si="126"/>
        <v>Electrical wire_46082</v>
      </c>
    </row>
    <row r="370" spans="31:43" ht="15.6" thickTop="1" thickBot="1">
      <c r="AE370" s="59" t="str">
        <f t="shared" si="127"/>
        <v>Storm/Sanitary Sewers</v>
      </c>
      <c r="AF370" s="57" t="s">
        <v>38</v>
      </c>
      <c r="AG370" s="60">
        <f t="shared" si="128"/>
        <v>46082</v>
      </c>
      <c r="AH370" s="79">
        <f ca="1">IFERROR(INDEX('Core Inputs Interface'!$1:$1048576,MATCH($AE370,'Core Inputs Interface'!$H:$H,0),MATCH($AG370,'Core Inputs Interface'!$17:$17,0)),"")</f>
        <v>4846</v>
      </c>
      <c r="AI370" s="55">
        <f t="shared" si="118"/>
        <v>0</v>
      </c>
      <c r="AJ370" s="55">
        <f t="shared" si="114"/>
        <v>0.24210307145623419</v>
      </c>
      <c r="AK370" s="55">
        <f t="shared" si="115"/>
        <v>0.6</v>
      </c>
      <c r="AL370" s="55">
        <f t="shared" ca="1" si="119"/>
        <v>0.25</v>
      </c>
      <c r="AM370" s="65">
        <f t="shared" ca="1" si="116"/>
        <v>0</v>
      </c>
      <c r="AN370" s="66">
        <f t="shared" ca="1" si="117"/>
        <v>0</v>
      </c>
      <c r="AO370" s="56">
        <f t="shared" ca="1" si="124"/>
        <v>0</v>
      </c>
      <c r="AP370" t="str">
        <f t="shared" si="125"/>
        <v>Storm/Sanitary Sewers_46082</v>
      </c>
      <c r="AQ370" t="str">
        <f t="shared" si="126"/>
        <v>Glass_46082</v>
      </c>
    </row>
    <row r="371" spans="31:43" ht="15.6" thickTop="1" thickBot="1">
      <c r="AE371" s="59" t="str">
        <f t="shared" si="127"/>
        <v>Storm/Sanitary Sewers</v>
      </c>
      <c r="AF371" s="57" t="s">
        <v>40</v>
      </c>
      <c r="AG371" s="60">
        <f t="shared" si="128"/>
        <v>46082</v>
      </c>
      <c r="AH371" s="79">
        <f ca="1">IFERROR(INDEX('Core Inputs Interface'!$1:$1048576,MATCH($AE371,'Core Inputs Interface'!$H:$H,0),MATCH($AG371,'Core Inputs Interface'!$17:$17,0)),"")</f>
        <v>4846</v>
      </c>
      <c r="AI371" s="55">
        <f t="shared" si="118"/>
        <v>0</v>
      </c>
      <c r="AJ371" s="55">
        <f t="shared" si="114"/>
        <v>2.4772729573316262E-4</v>
      </c>
      <c r="AK371" s="55">
        <f t="shared" si="115"/>
        <v>0.6</v>
      </c>
      <c r="AL371" s="55">
        <f t="shared" ca="1" si="119"/>
        <v>0.25</v>
      </c>
      <c r="AM371" s="65">
        <f t="shared" ca="1" si="116"/>
        <v>0</v>
      </c>
      <c r="AN371" s="66">
        <f t="shared" ca="1" si="117"/>
        <v>0</v>
      </c>
      <c r="AO371" s="56">
        <f t="shared" ca="1" si="124"/>
        <v>0</v>
      </c>
      <c r="AP371" t="str">
        <f t="shared" si="125"/>
        <v>Storm/Sanitary Sewers_46082</v>
      </c>
      <c r="AQ371" t="str">
        <f t="shared" si="126"/>
        <v>Roofing_46082</v>
      </c>
    </row>
    <row r="372" spans="31:43" ht="15.6" thickTop="1" thickBot="1">
      <c r="AE372" s="59" t="str">
        <f t="shared" si="127"/>
        <v>Storm/Sanitary Sewers</v>
      </c>
      <c r="AF372" s="57" t="s">
        <v>42</v>
      </c>
      <c r="AG372" s="60">
        <f t="shared" si="128"/>
        <v>46082</v>
      </c>
      <c r="AH372" s="79">
        <f ca="1">IFERROR(INDEX('Core Inputs Interface'!$1:$1048576,MATCH($AE372,'Core Inputs Interface'!$H:$H,0),MATCH($AG372,'Core Inputs Interface'!$17:$17,0)),"")</f>
        <v>4846</v>
      </c>
      <c r="AI372" s="55">
        <f t="shared" si="118"/>
        <v>0</v>
      </c>
      <c r="AJ372" s="55">
        <f t="shared" si="114"/>
        <v>0.54050345117059384</v>
      </c>
      <c r="AK372" s="55">
        <f t="shared" si="115"/>
        <v>0.6</v>
      </c>
      <c r="AL372" s="55">
        <f t="shared" ca="1" si="119"/>
        <v>0.25</v>
      </c>
      <c r="AM372" s="65">
        <f t="shared" ca="1" si="116"/>
        <v>0</v>
      </c>
      <c r="AN372" s="66">
        <f t="shared" ca="1" si="117"/>
        <v>0</v>
      </c>
      <c r="AO372" s="56">
        <f t="shared" ca="1" si="124"/>
        <v>0</v>
      </c>
      <c r="AP372" t="str">
        <f t="shared" si="125"/>
        <v>Storm/Sanitary Sewers_46082</v>
      </c>
      <c r="AQ372" t="str">
        <f t="shared" si="126"/>
        <v>Interior_46082</v>
      </c>
    </row>
    <row r="373" spans="31:43" ht="15.6" thickTop="1" thickBot="1">
      <c r="AE373" s="59" t="str">
        <f t="shared" si="127"/>
        <v>Storm/Sanitary Sewers</v>
      </c>
      <c r="AF373" s="57" t="s">
        <v>44</v>
      </c>
      <c r="AG373" s="60">
        <f t="shared" si="128"/>
        <v>46082</v>
      </c>
      <c r="AH373" s="79">
        <f ca="1">IFERROR(INDEX('Core Inputs Interface'!$1:$1048576,MATCH($AE373,'Core Inputs Interface'!$H:$H,0),MATCH($AG373,'Core Inputs Interface'!$17:$17,0)),"")</f>
        <v>4846</v>
      </c>
      <c r="AI373" s="55">
        <f t="shared" si="118"/>
        <v>0</v>
      </c>
      <c r="AJ373" s="55">
        <f t="shared" si="114"/>
        <v>0.14985905317691026</v>
      </c>
      <c r="AK373" s="55">
        <f t="shared" si="115"/>
        <v>0.6</v>
      </c>
      <c r="AL373" s="55">
        <f t="shared" ca="1" si="119"/>
        <v>0.25</v>
      </c>
      <c r="AM373" s="65">
        <f t="shared" ca="1" si="116"/>
        <v>0</v>
      </c>
      <c r="AN373" s="66">
        <f t="shared" ca="1" si="117"/>
        <v>0</v>
      </c>
      <c r="AO373" s="56">
        <f t="shared" ca="1" si="124"/>
        <v>0</v>
      </c>
      <c r="AP373" t="str">
        <f t="shared" si="125"/>
        <v>Storm/Sanitary Sewers_46082</v>
      </c>
      <c r="AQ373" t="str">
        <f t="shared" si="126"/>
        <v>Bitumen_46082</v>
      </c>
    </row>
    <row r="374" spans="31:43" ht="15.6" thickTop="1" thickBot="1">
      <c r="AE374" s="59" t="str">
        <f t="shared" si="127"/>
        <v>Storm/Sanitary Sewers</v>
      </c>
      <c r="AF374" s="57" t="s">
        <v>46</v>
      </c>
      <c r="AG374" s="60">
        <f t="shared" si="128"/>
        <v>46082</v>
      </c>
      <c r="AH374" s="79">
        <f ca="1">IFERROR(INDEX('Core Inputs Interface'!$1:$1048576,MATCH($AE374,'Core Inputs Interface'!$H:$H,0),MATCH($AG374,'Core Inputs Interface'!$17:$17,0)),"")</f>
        <v>4846</v>
      </c>
      <c r="AI374" s="55">
        <f t="shared" si="118"/>
        <v>0.02</v>
      </c>
      <c r="AJ374" s="55">
        <f t="shared" si="114"/>
        <v>0.12828361767948987</v>
      </c>
      <c r="AK374" s="55">
        <f t="shared" si="115"/>
        <v>0.6</v>
      </c>
      <c r="AL374" s="55">
        <f t="shared" ca="1" si="119"/>
        <v>0.25</v>
      </c>
      <c r="AM374" s="65">
        <f t="shared" ca="1" si="116"/>
        <v>1.8649872338244236</v>
      </c>
      <c r="AN374" s="66">
        <f t="shared" ca="1" si="117"/>
        <v>96.92</v>
      </c>
      <c r="AO374" s="56">
        <f t="shared" ca="1" si="124"/>
        <v>1.9242542651923478E-2</v>
      </c>
      <c r="AP374" t="str">
        <f t="shared" si="125"/>
        <v>Storm/Sanitary Sewers_46082</v>
      </c>
      <c r="AQ374" t="str">
        <f t="shared" si="126"/>
        <v>Polyethylene pipes_46082</v>
      </c>
    </row>
    <row r="375" spans="31:43" ht="15.6" thickTop="1" thickBot="1">
      <c r="AE375" s="59" t="str">
        <f t="shared" si="127"/>
        <v>Storm/Sanitary Sewers</v>
      </c>
      <c r="AF375" s="57" t="s">
        <v>48</v>
      </c>
      <c r="AG375" s="60">
        <f t="shared" si="128"/>
        <v>46082</v>
      </c>
      <c r="AH375" s="79">
        <f ca="1">IFERROR(INDEX('Core Inputs Interface'!$1:$1048576,MATCH($AE375,'Core Inputs Interface'!$H:$H,0),MATCH($AG375,'Core Inputs Interface'!$17:$17,0)),"")</f>
        <v>4846</v>
      </c>
      <c r="AI375" s="55">
        <f t="shared" si="118"/>
        <v>0.12</v>
      </c>
      <c r="AJ375" s="55">
        <f t="shared" si="114"/>
        <v>0.31546495432215926</v>
      </c>
      <c r="AK375" s="55">
        <f t="shared" si="115"/>
        <v>0.8</v>
      </c>
      <c r="AL375" s="55">
        <f t="shared" ca="1" si="119"/>
        <v>0.25</v>
      </c>
      <c r="AM375" s="65">
        <f t="shared" ca="1" si="116"/>
        <v>36.689836047484413</v>
      </c>
      <c r="AN375" s="66">
        <f t="shared" ca="1" si="117"/>
        <v>581.52</v>
      </c>
      <c r="AO375" s="56">
        <f t="shared" ca="1" si="124"/>
        <v>6.3092990864431861E-2</v>
      </c>
      <c r="AP375" t="str">
        <f t="shared" si="125"/>
        <v>Storm/Sanitary Sewers_46082</v>
      </c>
      <c r="AQ375" t="str">
        <f t="shared" si="126"/>
        <v>Plant and equipment_46082</v>
      </c>
    </row>
    <row r="376" spans="31:43" ht="15.6" thickTop="1" thickBot="1">
      <c r="AE376" s="59" t="str">
        <f t="shared" si="127"/>
        <v>Storm/Sanitary Sewers</v>
      </c>
      <c r="AF376" s="57" t="s">
        <v>50</v>
      </c>
      <c r="AG376" s="60">
        <f t="shared" si="128"/>
        <v>46082</v>
      </c>
      <c r="AH376" s="79">
        <f ca="1">IFERROR(INDEX('Core Inputs Interface'!$1:$1048576,MATCH($AE376,'Core Inputs Interface'!$H:$H,0),MATCH($AG376,'Core Inputs Interface'!$17:$17,0)),"")</f>
        <v>4846</v>
      </c>
      <c r="AI376" s="55">
        <f t="shared" si="118"/>
        <v>0</v>
      </c>
      <c r="AJ376" s="55">
        <f t="shared" si="114"/>
        <v>0.48556692694591386</v>
      </c>
      <c r="AK376" s="55">
        <f t="shared" si="115"/>
        <v>0.8</v>
      </c>
      <c r="AL376" s="55">
        <f t="shared" ca="1" si="119"/>
        <v>0.25</v>
      </c>
      <c r="AM376" s="65">
        <f t="shared" ca="1" si="116"/>
        <v>0</v>
      </c>
      <c r="AN376" s="66">
        <f t="shared" ca="1" si="117"/>
        <v>0</v>
      </c>
      <c r="AO376" s="56">
        <f t="shared" ca="1" si="124"/>
        <v>0</v>
      </c>
      <c r="AP376" t="str">
        <f t="shared" si="125"/>
        <v>Storm/Sanitary Sewers_46082</v>
      </c>
      <c r="AQ376" t="str">
        <f t="shared" si="126"/>
        <v>Electrical equipment_46082</v>
      </c>
    </row>
    <row r="377" spans="31:43" ht="15.6" thickTop="1" thickBot="1">
      <c r="AE377" s="59" t="str">
        <f t="shared" si="127"/>
        <v>Storm/Sanitary Sewers</v>
      </c>
      <c r="AF377" s="57" t="s">
        <v>52</v>
      </c>
      <c r="AG377" s="60">
        <f t="shared" si="128"/>
        <v>46082</v>
      </c>
      <c r="AH377" s="79">
        <f ca="1">IFERROR(INDEX('Core Inputs Interface'!$1:$1048576,MATCH($AE377,'Core Inputs Interface'!$H:$H,0),MATCH($AG377,'Core Inputs Interface'!$17:$17,0)),"")</f>
        <v>4846</v>
      </c>
      <c r="AI377" s="55">
        <f t="shared" si="118"/>
        <v>0</v>
      </c>
      <c r="AJ377" s="55">
        <f t="shared" si="114"/>
        <v>0.23440288076987165</v>
      </c>
      <c r="AK377" s="55">
        <f t="shared" si="115"/>
        <v>0.8</v>
      </c>
      <c r="AL377" s="55">
        <f t="shared" ca="1" si="119"/>
        <v>0.25</v>
      </c>
      <c r="AM377" s="65">
        <f t="shared" ca="1" si="116"/>
        <v>0</v>
      </c>
      <c r="AN377" s="66">
        <f t="shared" ca="1" si="117"/>
        <v>0</v>
      </c>
      <c r="AO377" s="56">
        <f t="shared" ca="1" si="124"/>
        <v>0</v>
      </c>
      <c r="AP377" t="str">
        <f t="shared" si="125"/>
        <v>Storm/Sanitary Sewers_46082</v>
      </c>
      <c r="AQ377" t="str">
        <f t="shared" si="126"/>
        <v>Road equipment_46082</v>
      </c>
    </row>
    <row r="378" spans="31:43" ht="15.6" thickTop="1" thickBot="1">
      <c r="AE378" s="59" t="str">
        <f t="shared" si="127"/>
        <v>Storm/Sanitary Sewers</v>
      </c>
      <c r="AF378" s="57" t="s">
        <v>54</v>
      </c>
      <c r="AG378" s="60">
        <f t="shared" si="128"/>
        <v>46082</v>
      </c>
      <c r="AH378" s="79">
        <f ca="1">IFERROR(INDEX('Core Inputs Interface'!$1:$1048576,MATCH($AE378,'Core Inputs Interface'!$H:$H,0),MATCH($AG378,'Core Inputs Interface'!$17:$17,0)),"")</f>
        <v>4846</v>
      </c>
      <c r="AI378" s="55">
        <f t="shared" si="118"/>
        <v>0.03</v>
      </c>
      <c r="AJ378" s="55">
        <f t="shared" si="114"/>
        <v>0.53411483886586031</v>
      </c>
      <c r="AK378" s="55">
        <f t="shared" si="115"/>
        <v>0.8</v>
      </c>
      <c r="AL378" s="55">
        <f t="shared" ca="1" si="119"/>
        <v>0.25</v>
      </c>
      <c r="AM378" s="65">
        <f t="shared" ca="1" si="116"/>
        <v>15.529923054863753</v>
      </c>
      <c r="AN378" s="66">
        <f t="shared" ca="1" si="117"/>
        <v>145.38</v>
      </c>
      <c r="AO378" s="56">
        <f t="shared" ca="1" si="124"/>
        <v>0.10682296777317206</v>
      </c>
      <c r="AP378" t="str">
        <f t="shared" si="125"/>
        <v>Storm/Sanitary Sewers_46082</v>
      </c>
      <c r="AQ378" t="str">
        <f t="shared" si="126"/>
        <v>Water equipment_46082</v>
      </c>
    </row>
    <row r="379" spans="31:43" ht="15.6" thickTop="1" thickBot="1">
      <c r="AE379" s="59" t="str">
        <f t="shared" si="127"/>
        <v>Storm/Sanitary Sewers</v>
      </c>
      <c r="AF379" s="57" t="s">
        <v>56</v>
      </c>
      <c r="AG379" s="60">
        <f t="shared" si="128"/>
        <v>46082</v>
      </c>
      <c r="AH379" s="79">
        <f ca="1">IFERROR(INDEX('Core Inputs Interface'!$1:$1048576,MATCH($AE379,'Core Inputs Interface'!$H:$H,0),MATCH($AG379,'Core Inputs Interface'!$17:$17,0)),"")</f>
        <v>4846</v>
      </c>
      <c r="AI379" s="55">
        <f t="shared" si="118"/>
        <v>0.05</v>
      </c>
      <c r="AJ379" s="55">
        <f t="shared" si="114"/>
        <v>0.45356302165418505</v>
      </c>
      <c r="AK379" s="55">
        <f t="shared" si="115"/>
        <v>0.6</v>
      </c>
      <c r="AL379" s="55">
        <f t="shared" ca="1" si="119"/>
        <v>0.1</v>
      </c>
      <c r="AM379" s="65">
        <f t="shared" ca="1" si="116"/>
        <v>6.5938992088085433</v>
      </c>
      <c r="AN379" s="66">
        <f t="shared" ca="1" si="117"/>
        <v>242.3</v>
      </c>
      <c r="AO379" s="56">
        <f t="shared" ca="1" si="124"/>
        <v>2.7213781299251106E-2</v>
      </c>
      <c r="AP379" t="str">
        <f t="shared" si="125"/>
        <v>Storm/Sanitary Sewers_46082</v>
      </c>
      <c r="AQ379" t="str">
        <f t="shared" si="126"/>
        <v>Diesel_46082</v>
      </c>
    </row>
    <row r="380" spans="31:43" ht="15.6" thickTop="1" thickBot="1">
      <c r="AE380" s="59" t="str">
        <f t="shared" si="127"/>
        <v>Storm/Sanitary Sewers</v>
      </c>
      <c r="AF380" s="57" t="s">
        <v>49</v>
      </c>
      <c r="AG380" s="60">
        <f t="shared" si="128"/>
        <v>46082</v>
      </c>
      <c r="AH380" s="79">
        <f ca="1">IFERROR(INDEX('Core Inputs Interface'!$1:$1048576,MATCH($AE380,'Core Inputs Interface'!$H:$H,0),MATCH($AG380,'Core Inputs Interface'!$17:$17,0)),"")</f>
        <v>4846</v>
      </c>
      <c r="AI380" s="55">
        <f t="shared" si="118"/>
        <v>0</v>
      </c>
      <c r="AJ380" s="55">
        <f t="shared" si="114"/>
        <v>0.52451068102476561</v>
      </c>
      <c r="AK380" s="55">
        <f t="shared" si="115"/>
        <v>0.8</v>
      </c>
      <c r="AL380" s="55">
        <f t="shared" ca="1" si="119"/>
        <v>0.25</v>
      </c>
      <c r="AM380" s="65">
        <f t="shared" ca="1" si="116"/>
        <v>0</v>
      </c>
      <c r="AN380" s="66">
        <f t="shared" ca="1" si="117"/>
        <v>0</v>
      </c>
      <c r="AO380" s="56">
        <f t="shared" ca="1" si="124"/>
        <v>0</v>
      </c>
      <c r="AP380" t="str">
        <f t="shared" si="125"/>
        <v>Storm/Sanitary Sewers_46082</v>
      </c>
      <c r="AQ380" t="str">
        <f t="shared" si="126"/>
        <v>Vehicles_46082</v>
      </c>
    </row>
    <row r="381" spans="31:43" ht="15.6" thickTop="1" thickBot="1">
      <c r="AE381" s="59" t="str">
        <f>AE380</f>
        <v>Storm/Sanitary Sewers</v>
      </c>
      <c r="AF381" s="57" t="s">
        <v>51</v>
      </c>
      <c r="AG381" s="60">
        <f>AG380</f>
        <v>46082</v>
      </c>
      <c r="AH381" s="79">
        <f ca="1">IFERROR(INDEX('Core Inputs Interface'!$1:$1048576,MATCH($AE381,'Core Inputs Interface'!$H:$H,0),MATCH($AG381,'Core Inputs Interface'!$17:$17,0)),"")</f>
        <v>4846</v>
      </c>
      <c r="AI381" s="55">
        <f t="shared" si="118"/>
        <v>0</v>
      </c>
      <c r="AJ381" s="55">
        <f t="shared" si="114"/>
        <v>0.39238740022595126</v>
      </c>
      <c r="AK381" s="55">
        <f t="shared" si="115"/>
        <v>0.8</v>
      </c>
      <c r="AL381" s="55">
        <f t="shared" ca="1" si="119"/>
        <v>0.25</v>
      </c>
      <c r="AM381" s="65">
        <f t="shared" ca="1" si="116"/>
        <v>0</v>
      </c>
      <c r="AN381" s="66">
        <f t="shared" ca="1" si="117"/>
        <v>0</v>
      </c>
      <c r="AO381" s="56">
        <f ca="1">IFERROR(AM381/AN381,0)</f>
        <v>0</v>
      </c>
      <c r="AP381" t="str">
        <f>_xlfn.TEXTJOIN("_",,$AE381,$AG381)</f>
        <v>Storm/Sanitary Sewers_46082</v>
      </c>
      <c r="AQ381" t="str">
        <f>_xlfn.TEXTJOIN("_",,$AF381,$AG381)</f>
        <v>Machinery &amp; Equipment_46082</v>
      </c>
    </row>
    <row r="382" spans="31:43" ht="15.6" thickTop="1" thickBot="1">
      <c r="AE382" s="59" t="str">
        <f>AE381</f>
        <v>Storm/Sanitary Sewers</v>
      </c>
      <c r="AF382" s="57" t="s">
        <v>53</v>
      </c>
      <c r="AG382" s="60">
        <f>AG381</f>
        <v>46082</v>
      </c>
      <c r="AH382" s="79">
        <f ca="1">IFERROR(INDEX('Core Inputs Interface'!$1:$1048576,MATCH($AE382,'Core Inputs Interface'!$H:$H,0),MATCH($AG382,'Core Inputs Interface'!$17:$17,0)),"")</f>
        <v>4846</v>
      </c>
      <c r="AI382" s="55">
        <f t="shared" si="118"/>
        <v>0</v>
      </c>
      <c r="AJ382" s="55">
        <f t="shared" si="114"/>
        <v>0.15</v>
      </c>
      <c r="AK382" s="55">
        <f t="shared" si="115"/>
        <v>0.8</v>
      </c>
      <c r="AL382" s="55">
        <f t="shared" ca="1" si="119"/>
        <v>0.25</v>
      </c>
      <c r="AM382" s="65">
        <f t="shared" ca="1" si="116"/>
        <v>0</v>
      </c>
      <c r="AN382" s="66">
        <f t="shared" ca="1" si="117"/>
        <v>0</v>
      </c>
      <c r="AO382" s="56">
        <f ca="1">IFERROR(AM382/AN382,0)</f>
        <v>0</v>
      </c>
      <c r="AP382" t="str">
        <f>_xlfn.TEXTJOIN("_",,$AE382,$AG382)</f>
        <v>Storm/Sanitary Sewers_46082</v>
      </c>
      <c r="AQ382" t="str">
        <f>_xlfn.TEXTJOIN("_",,$AF382,$AG382)</f>
        <v>Office Equipment &amp; IT_46082</v>
      </c>
    </row>
    <row r="383" spans="31:43" ht="15.6" thickTop="1" thickBot="1">
      <c r="AE383" s="59" t="str">
        <f>AE380</f>
        <v>Storm/Sanitary Sewers</v>
      </c>
      <c r="AF383" s="59" t="str">
        <f t="shared" ref="AF383:AF402" si="129">AF361</f>
        <v>Labour</v>
      </c>
      <c r="AG383" s="61">
        <f>EDATE(AG361,12)</f>
        <v>46447</v>
      </c>
      <c r="AH383" s="79">
        <f ca="1">IFERROR(INDEX('Core Inputs Interface'!$1:$1048576,MATCH($AE383,'Core Inputs Interface'!$H:$H,0),MATCH($AG383,'Core Inputs Interface'!$17:$17,0)),"")</f>
        <v>5094</v>
      </c>
      <c r="AI383" s="55">
        <f t="shared" si="118"/>
        <v>0.6</v>
      </c>
      <c r="AJ383" s="55" t="str">
        <f t="shared" si="114"/>
        <v>N/A</v>
      </c>
      <c r="AK383" s="55" t="str">
        <f t="shared" si="115"/>
        <v>N/A</v>
      </c>
      <c r="AL383" s="55" t="str">
        <f t="shared" ca="1" si="119"/>
        <v>N/A</v>
      </c>
      <c r="AM383" s="65">
        <f t="shared" ca="1" si="116"/>
        <v>0</v>
      </c>
      <c r="AN383" s="66">
        <f t="shared" ca="1" si="117"/>
        <v>3056.4</v>
      </c>
      <c r="AO383" s="56">
        <f t="shared" ref="AO383:AO402" ca="1" si="130">IFERROR(AM383/AN383,0)</f>
        <v>0</v>
      </c>
      <c r="AP383" t="str">
        <f t="shared" si="125"/>
        <v>Storm/Sanitary Sewers_46447</v>
      </c>
      <c r="AQ383" t="str">
        <f t="shared" si="126"/>
        <v>Labour_46447</v>
      </c>
    </row>
    <row r="384" spans="31:43" ht="15.6" thickTop="1" thickBot="1">
      <c r="AE384" s="59" t="str">
        <f t="shared" si="127"/>
        <v>Storm/Sanitary Sewers</v>
      </c>
      <c r="AF384" s="59" t="str">
        <f t="shared" si="129"/>
        <v>Engineering design</v>
      </c>
      <c r="AG384" s="60">
        <f>AG383</f>
        <v>46447</v>
      </c>
      <c r="AH384" s="79">
        <f ca="1">IFERROR(INDEX('Core Inputs Interface'!$1:$1048576,MATCH($AE384,'Core Inputs Interface'!$H:$H,0),MATCH($AG384,'Core Inputs Interface'!$17:$17,0)),"")</f>
        <v>5094</v>
      </c>
      <c r="AI384" s="55">
        <f t="shared" si="118"/>
        <v>0</v>
      </c>
      <c r="AJ384" s="55" t="str">
        <f t="shared" si="114"/>
        <v>N/A</v>
      </c>
      <c r="AK384" s="55" t="str">
        <f t="shared" si="115"/>
        <v>N/A</v>
      </c>
      <c r="AL384" s="55" t="str">
        <f t="shared" ca="1" si="119"/>
        <v>N/A</v>
      </c>
      <c r="AM384" s="65">
        <f t="shared" ca="1" si="116"/>
        <v>0</v>
      </c>
      <c r="AN384" s="66">
        <f t="shared" ca="1" si="117"/>
        <v>0</v>
      </c>
      <c r="AO384" s="56">
        <f t="shared" ca="1" si="130"/>
        <v>0</v>
      </c>
      <c r="AP384" t="str">
        <f t="shared" si="125"/>
        <v>Storm/Sanitary Sewers_46447</v>
      </c>
      <c r="AQ384" t="str">
        <f t="shared" si="126"/>
        <v>Engineering design_46447</v>
      </c>
    </row>
    <row r="385" spans="31:43" ht="15.6" thickTop="1" thickBot="1">
      <c r="AE385" s="59" t="str">
        <f t="shared" si="127"/>
        <v>Storm/Sanitary Sewers</v>
      </c>
      <c r="AF385" s="59" t="str">
        <f t="shared" si="129"/>
        <v>Reinforcing bar</v>
      </c>
      <c r="AG385" s="60">
        <f t="shared" ref="AG385:AG402" si="131">AG384</f>
        <v>46447</v>
      </c>
      <c r="AH385" s="79">
        <f ca="1">IFERROR(INDEX('Core Inputs Interface'!$1:$1048576,MATCH($AE385,'Core Inputs Interface'!$H:$H,0),MATCH($AG385,'Core Inputs Interface'!$17:$17,0)),"")</f>
        <v>5094</v>
      </c>
      <c r="AI385" s="55">
        <f t="shared" si="118"/>
        <v>0</v>
      </c>
      <c r="AJ385" s="55">
        <f t="shared" si="114"/>
        <v>8.4066217963502693E-2</v>
      </c>
      <c r="AK385" s="55">
        <f t="shared" si="115"/>
        <v>0.6</v>
      </c>
      <c r="AL385" s="55">
        <f t="shared" ca="1" si="119"/>
        <v>0.25</v>
      </c>
      <c r="AM385" s="65">
        <f t="shared" ca="1" si="116"/>
        <v>0</v>
      </c>
      <c r="AN385" s="66">
        <f t="shared" ca="1" si="117"/>
        <v>0</v>
      </c>
      <c r="AO385" s="56">
        <f t="shared" ca="1" si="130"/>
        <v>0</v>
      </c>
      <c r="AP385" t="str">
        <f t="shared" si="125"/>
        <v>Storm/Sanitary Sewers_46447</v>
      </c>
      <c r="AQ385" t="str">
        <f t="shared" si="126"/>
        <v>Reinforcing bar_46447</v>
      </c>
    </row>
    <row r="386" spans="31:43" ht="15.6" thickTop="1" thickBot="1">
      <c r="AE386" s="59" t="str">
        <f t="shared" si="127"/>
        <v>Storm/Sanitary Sewers</v>
      </c>
      <c r="AF386" s="59" t="str">
        <f t="shared" si="129"/>
        <v>Structural steel</v>
      </c>
      <c r="AG386" s="60">
        <f t="shared" si="131"/>
        <v>46447</v>
      </c>
      <c r="AH386" s="79">
        <f ca="1">IFERROR(INDEX('Core Inputs Interface'!$1:$1048576,MATCH($AE386,'Core Inputs Interface'!$H:$H,0),MATCH($AG386,'Core Inputs Interface'!$17:$17,0)),"")</f>
        <v>5094</v>
      </c>
      <c r="AI386" s="55">
        <f t="shared" si="118"/>
        <v>0.05</v>
      </c>
      <c r="AJ386" s="55">
        <f t="shared" si="114"/>
        <v>0.52500514810102583</v>
      </c>
      <c r="AK386" s="55">
        <f t="shared" si="115"/>
        <v>0.6</v>
      </c>
      <c r="AL386" s="55">
        <f t="shared" ca="1" si="119"/>
        <v>0.25</v>
      </c>
      <c r="AM386" s="65">
        <f t="shared" ca="1" si="116"/>
        <v>20.057821683199695</v>
      </c>
      <c r="AN386" s="66">
        <f t="shared" ca="1" si="117"/>
        <v>254.70000000000002</v>
      </c>
      <c r="AO386" s="56">
        <f t="shared" ca="1" si="130"/>
        <v>7.8750772215153877E-2</v>
      </c>
      <c r="AP386" t="str">
        <f t="shared" si="125"/>
        <v>Storm/Sanitary Sewers_46447</v>
      </c>
      <c r="AQ386" t="str">
        <f t="shared" si="126"/>
        <v>Structural steel_46447</v>
      </c>
    </row>
    <row r="387" spans="31:43" ht="15.6" thickTop="1" thickBot="1">
      <c r="AE387" s="59" t="str">
        <f t="shared" si="127"/>
        <v>Storm/Sanitary Sewers</v>
      </c>
      <c r="AF387" s="59" t="str">
        <f t="shared" si="129"/>
        <v>Quarry Material</v>
      </c>
      <c r="AG387" s="60">
        <f t="shared" si="131"/>
        <v>46447</v>
      </c>
      <c r="AH387" s="79">
        <f ca="1">IFERROR(INDEX('Core Inputs Interface'!$1:$1048576,MATCH($AE387,'Core Inputs Interface'!$H:$H,0),MATCH($AG387,'Core Inputs Interface'!$17:$17,0)),"")</f>
        <v>5094</v>
      </c>
      <c r="AI387" s="55">
        <f t="shared" si="118"/>
        <v>0</v>
      </c>
      <c r="AJ387" s="55">
        <f t="shared" si="114"/>
        <v>9.1004090556242881E-2</v>
      </c>
      <c r="AK387" s="55">
        <f t="shared" si="115"/>
        <v>0.6</v>
      </c>
      <c r="AL387" s="55">
        <f t="shared" ca="1" si="119"/>
        <v>0.25</v>
      </c>
      <c r="AM387" s="65">
        <f t="shared" ca="1" si="116"/>
        <v>0</v>
      </c>
      <c r="AN387" s="66">
        <f t="shared" ca="1" si="117"/>
        <v>0</v>
      </c>
      <c r="AO387" s="56">
        <f t="shared" ca="1" si="130"/>
        <v>0</v>
      </c>
      <c r="AP387" t="str">
        <f t="shared" si="125"/>
        <v>Storm/Sanitary Sewers_46447</v>
      </c>
      <c r="AQ387" t="str">
        <f t="shared" si="126"/>
        <v>Quarry Material_46447</v>
      </c>
    </row>
    <row r="388" spans="31:43" ht="15.6" thickTop="1" thickBot="1">
      <c r="AE388" s="59" t="str">
        <f t="shared" si="127"/>
        <v>Storm/Sanitary Sewers</v>
      </c>
      <c r="AF388" s="59" t="str">
        <f t="shared" si="129"/>
        <v>Concrete</v>
      </c>
      <c r="AG388" s="60">
        <f t="shared" si="131"/>
        <v>46447</v>
      </c>
      <c r="AH388" s="79">
        <f ca="1">IFERROR(INDEX('Core Inputs Interface'!$1:$1048576,MATCH($AE388,'Core Inputs Interface'!$H:$H,0),MATCH($AG388,'Core Inputs Interface'!$17:$17,0)),"")</f>
        <v>5094</v>
      </c>
      <c r="AI388" s="55">
        <f t="shared" si="118"/>
        <v>0.12</v>
      </c>
      <c r="AJ388" s="55">
        <f t="shared" si="114"/>
        <v>1.1472584695084088E-2</v>
      </c>
      <c r="AK388" s="55">
        <f t="shared" si="115"/>
        <v>0.6</v>
      </c>
      <c r="AL388" s="55">
        <f t="shared" ca="1" si="119"/>
        <v>0.25</v>
      </c>
      <c r="AM388" s="65">
        <f t="shared" ca="1" si="116"/>
        <v>1.0519442358616502</v>
      </c>
      <c r="AN388" s="66">
        <f t="shared" ca="1" si="117"/>
        <v>611.28</v>
      </c>
      <c r="AO388" s="56">
        <f t="shared" ca="1" si="130"/>
        <v>1.7208877042626132E-3</v>
      </c>
      <c r="AP388" t="str">
        <f t="shared" si="125"/>
        <v>Storm/Sanitary Sewers_46447</v>
      </c>
      <c r="AQ388" t="str">
        <f t="shared" si="126"/>
        <v>Concrete_46447</v>
      </c>
    </row>
    <row r="389" spans="31:43" ht="15.6" thickTop="1" thickBot="1">
      <c r="AE389" s="59" t="str">
        <f t="shared" si="127"/>
        <v>Storm/Sanitary Sewers</v>
      </c>
      <c r="AF389" s="59" t="str">
        <f t="shared" si="129"/>
        <v>Masonry</v>
      </c>
      <c r="AG389" s="60">
        <f t="shared" si="131"/>
        <v>46447</v>
      </c>
      <c r="AH389" s="79">
        <f ca="1">IFERROR(INDEX('Core Inputs Interface'!$1:$1048576,MATCH($AE389,'Core Inputs Interface'!$H:$H,0),MATCH($AG389,'Core Inputs Interface'!$17:$17,0)),"")</f>
        <v>5094</v>
      </c>
      <c r="AI389" s="55">
        <f t="shared" si="118"/>
        <v>0</v>
      </c>
      <c r="AJ389" s="55">
        <f t="shared" si="114"/>
        <v>9.8410961434768088E-2</v>
      </c>
      <c r="AK389" s="55">
        <f t="shared" si="115"/>
        <v>0.6</v>
      </c>
      <c r="AL389" s="55">
        <f t="shared" ca="1" si="119"/>
        <v>0.25</v>
      </c>
      <c r="AM389" s="65">
        <f t="shared" ca="1" si="116"/>
        <v>0</v>
      </c>
      <c r="AN389" s="66">
        <f t="shared" ca="1" si="117"/>
        <v>0</v>
      </c>
      <c r="AO389" s="56">
        <f t="shared" ca="1" si="130"/>
        <v>0</v>
      </c>
      <c r="AP389" t="str">
        <f t="shared" si="125"/>
        <v>Storm/Sanitary Sewers_46447</v>
      </c>
      <c r="AQ389" t="str">
        <f t="shared" si="126"/>
        <v>Masonry_46447</v>
      </c>
    </row>
    <row r="390" spans="31:43" ht="15.6" thickTop="1" thickBot="1">
      <c r="AE390" s="59" t="str">
        <f t="shared" si="127"/>
        <v>Storm/Sanitary Sewers</v>
      </c>
      <c r="AF390" s="59" t="str">
        <f t="shared" si="129"/>
        <v>Wood</v>
      </c>
      <c r="AG390" s="60">
        <f t="shared" si="131"/>
        <v>46447</v>
      </c>
      <c r="AH390" s="79">
        <f ca="1">IFERROR(INDEX('Core Inputs Interface'!$1:$1048576,MATCH($AE390,'Core Inputs Interface'!$H:$H,0),MATCH($AG390,'Core Inputs Interface'!$17:$17,0)),"")</f>
        <v>5094</v>
      </c>
      <c r="AI390" s="55">
        <f t="shared" si="118"/>
        <v>0</v>
      </c>
      <c r="AJ390" s="55">
        <f t="shared" si="114"/>
        <v>0.13840817436677436</v>
      </c>
      <c r="AK390" s="55">
        <f t="shared" si="115"/>
        <v>0.6</v>
      </c>
      <c r="AL390" s="55">
        <f t="shared" ca="1" si="119"/>
        <v>0.25</v>
      </c>
      <c r="AM390" s="65">
        <f t="shared" ca="1" si="116"/>
        <v>0</v>
      </c>
      <c r="AN390" s="66">
        <f t="shared" ca="1" si="117"/>
        <v>0</v>
      </c>
      <c r="AO390" s="56">
        <f t="shared" ca="1" si="130"/>
        <v>0</v>
      </c>
      <c r="AP390" t="str">
        <f t="shared" si="125"/>
        <v>Storm/Sanitary Sewers_46447</v>
      </c>
      <c r="AQ390" t="str">
        <f t="shared" si="126"/>
        <v>Wood_46447</v>
      </c>
    </row>
    <row r="391" spans="31:43" ht="15.6" thickTop="1" thickBot="1">
      <c r="AE391" s="59" t="str">
        <f t="shared" si="127"/>
        <v>Storm/Sanitary Sewers</v>
      </c>
      <c r="AF391" s="59" t="str">
        <f t="shared" si="129"/>
        <v>Electrical wire</v>
      </c>
      <c r="AG391" s="60">
        <f t="shared" si="131"/>
        <v>46447</v>
      </c>
      <c r="AH391" s="79">
        <f ca="1">IFERROR(INDEX('Core Inputs Interface'!$1:$1048576,MATCH($AE391,'Core Inputs Interface'!$H:$H,0),MATCH($AG391,'Core Inputs Interface'!$17:$17,0)),"")</f>
        <v>5094</v>
      </c>
      <c r="AI391" s="55">
        <f t="shared" si="118"/>
        <v>0.01</v>
      </c>
      <c r="AJ391" s="55">
        <f t="shared" si="114"/>
        <v>0.80654510583379313</v>
      </c>
      <c r="AK391" s="55">
        <f t="shared" si="115"/>
        <v>0.6</v>
      </c>
      <c r="AL391" s="55">
        <f t="shared" ca="1" si="119"/>
        <v>0.25</v>
      </c>
      <c r="AM391" s="65">
        <f t="shared" ca="1" si="116"/>
        <v>6.1628111536760128</v>
      </c>
      <c r="AN391" s="66">
        <f t="shared" ca="1" si="117"/>
        <v>50.94</v>
      </c>
      <c r="AO391" s="56">
        <f t="shared" ca="1" si="130"/>
        <v>0.12098176587506897</v>
      </c>
      <c r="AP391" t="str">
        <f t="shared" si="125"/>
        <v>Storm/Sanitary Sewers_46447</v>
      </c>
      <c r="AQ391" t="str">
        <f t="shared" si="126"/>
        <v>Electrical wire_46447</v>
      </c>
    </row>
    <row r="392" spans="31:43" ht="15.6" thickTop="1" thickBot="1">
      <c r="AE392" s="59" t="str">
        <f t="shared" si="127"/>
        <v>Storm/Sanitary Sewers</v>
      </c>
      <c r="AF392" s="59" t="str">
        <f t="shared" si="129"/>
        <v>Glass</v>
      </c>
      <c r="AG392" s="60">
        <f t="shared" si="131"/>
        <v>46447</v>
      </c>
      <c r="AH392" s="79">
        <f ca="1">IFERROR(INDEX('Core Inputs Interface'!$1:$1048576,MATCH($AE392,'Core Inputs Interface'!$H:$H,0),MATCH($AG392,'Core Inputs Interface'!$17:$17,0)),"")</f>
        <v>5094</v>
      </c>
      <c r="AI392" s="55">
        <f t="shared" si="118"/>
        <v>0</v>
      </c>
      <c r="AJ392" s="55">
        <f t="shared" si="114"/>
        <v>0.24210307145623419</v>
      </c>
      <c r="AK392" s="55">
        <f t="shared" si="115"/>
        <v>0.6</v>
      </c>
      <c r="AL392" s="55">
        <f t="shared" ca="1" si="119"/>
        <v>0.25</v>
      </c>
      <c r="AM392" s="65">
        <f t="shared" ca="1" si="116"/>
        <v>0</v>
      </c>
      <c r="AN392" s="66">
        <f t="shared" ca="1" si="117"/>
        <v>0</v>
      </c>
      <c r="AO392" s="56">
        <f t="shared" ca="1" si="130"/>
        <v>0</v>
      </c>
      <c r="AP392" t="str">
        <f t="shared" si="125"/>
        <v>Storm/Sanitary Sewers_46447</v>
      </c>
      <c r="AQ392" t="str">
        <f t="shared" si="126"/>
        <v>Glass_46447</v>
      </c>
    </row>
    <row r="393" spans="31:43" ht="15.6" thickTop="1" thickBot="1">
      <c r="AE393" s="59" t="str">
        <f t="shared" si="127"/>
        <v>Storm/Sanitary Sewers</v>
      </c>
      <c r="AF393" s="59" t="str">
        <f t="shared" si="129"/>
        <v>Roofing</v>
      </c>
      <c r="AG393" s="60">
        <f t="shared" si="131"/>
        <v>46447</v>
      </c>
      <c r="AH393" s="79">
        <f ca="1">IFERROR(INDEX('Core Inputs Interface'!$1:$1048576,MATCH($AE393,'Core Inputs Interface'!$H:$H,0),MATCH($AG393,'Core Inputs Interface'!$17:$17,0)),"")</f>
        <v>5094</v>
      </c>
      <c r="AI393" s="55">
        <f t="shared" si="118"/>
        <v>0</v>
      </c>
      <c r="AJ393" s="55">
        <f t="shared" ref="AJ393:AJ456" si="132">IFERROR(INDEX($U:$U,MATCH($AF393,$T:$T,0)),0)</f>
        <v>2.4772729573316262E-4</v>
      </c>
      <c r="AK393" s="55">
        <f t="shared" ref="AK393:AK456" si="133">IFERROR(INDEX($Y:$Y,MATCH($AF393,$X:$X,0)),0)</f>
        <v>0.6</v>
      </c>
      <c r="AL393" s="55">
        <f t="shared" ca="1" si="119"/>
        <v>0.25</v>
      </c>
      <c r="AM393" s="65">
        <f t="shared" ref="AM393:AM456" ca="1" si="134">IF(AL393="N/A",0,PRODUCT(AH393:AL393))</f>
        <v>0</v>
      </c>
      <c r="AN393" s="66">
        <f t="shared" ref="AN393:AN456" ca="1" si="135">PRODUCT(AH393:AI393)</f>
        <v>0</v>
      </c>
      <c r="AO393" s="56">
        <f t="shared" ca="1" si="130"/>
        <v>0</v>
      </c>
      <c r="AP393" t="str">
        <f t="shared" si="125"/>
        <v>Storm/Sanitary Sewers_46447</v>
      </c>
      <c r="AQ393" t="str">
        <f t="shared" si="126"/>
        <v>Roofing_46447</v>
      </c>
    </row>
    <row r="394" spans="31:43" ht="15.6" thickTop="1" thickBot="1">
      <c r="AE394" s="59" t="str">
        <f t="shared" si="127"/>
        <v>Storm/Sanitary Sewers</v>
      </c>
      <c r="AF394" s="59" t="str">
        <f t="shared" si="129"/>
        <v>Interior</v>
      </c>
      <c r="AG394" s="60">
        <f t="shared" si="131"/>
        <v>46447</v>
      </c>
      <c r="AH394" s="79">
        <f ca="1">IFERROR(INDEX('Core Inputs Interface'!$1:$1048576,MATCH($AE394,'Core Inputs Interface'!$H:$H,0),MATCH($AG394,'Core Inputs Interface'!$17:$17,0)),"")</f>
        <v>5094</v>
      </c>
      <c r="AI394" s="55">
        <f t="shared" ref="AI394:AI457" si="136">IFERROR(INDEX($F$9:$Q$30,MATCH($AF394,$E$9:$E$30,0),MATCH($AE394,$F$8:$Q$8,0)),0)</f>
        <v>0</v>
      </c>
      <c r="AJ394" s="55">
        <f t="shared" si="132"/>
        <v>0.54050345117059384</v>
      </c>
      <c r="AK394" s="55">
        <f t="shared" si="133"/>
        <v>0.6</v>
      </c>
      <c r="AL394" s="55">
        <f t="shared" ref="AL394:AL457" ca="1" si="137">IFERROR(INDEX($Z$10:$AA$31,MATCH($AF394,$X$10:$X$31,0),MATCH($AG394,$Z$9:$AA$9,0)),0)</f>
        <v>0.25</v>
      </c>
      <c r="AM394" s="65">
        <f t="shared" ca="1" si="134"/>
        <v>0</v>
      </c>
      <c r="AN394" s="66">
        <f t="shared" ca="1" si="135"/>
        <v>0</v>
      </c>
      <c r="AO394" s="56">
        <f t="shared" ca="1" si="130"/>
        <v>0</v>
      </c>
      <c r="AP394" t="str">
        <f t="shared" si="125"/>
        <v>Storm/Sanitary Sewers_46447</v>
      </c>
      <c r="AQ394" t="str">
        <f t="shared" si="126"/>
        <v>Interior_46447</v>
      </c>
    </row>
    <row r="395" spans="31:43" ht="15.6" thickTop="1" thickBot="1">
      <c r="AE395" s="59" t="str">
        <f t="shared" si="127"/>
        <v>Storm/Sanitary Sewers</v>
      </c>
      <c r="AF395" s="59" t="str">
        <f t="shared" si="129"/>
        <v>Bitumen</v>
      </c>
      <c r="AG395" s="60">
        <f t="shared" si="131"/>
        <v>46447</v>
      </c>
      <c r="AH395" s="79">
        <f ca="1">IFERROR(INDEX('Core Inputs Interface'!$1:$1048576,MATCH($AE395,'Core Inputs Interface'!$H:$H,0),MATCH($AG395,'Core Inputs Interface'!$17:$17,0)),"")</f>
        <v>5094</v>
      </c>
      <c r="AI395" s="55">
        <f t="shared" si="136"/>
        <v>0</v>
      </c>
      <c r="AJ395" s="55">
        <f t="shared" si="132"/>
        <v>0.14985905317691026</v>
      </c>
      <c r="AK395" s="55">
        <f t="shared" si="133"/>
        <v>0.6</v>
      </c>
      <c r="AL395" s="55">
        <f t="shared" ca="1" si="137"/>
        <v>0.25</v>
      </c>
      <c r="AM395" s="65">
        <f t="shared" ca="1" si="134"/>
        <v>0</v>
      </c>
      <c r="AN395" s="66">
        <f t="shared" ca="1" si="135"/>
        <v>0</v>
      </c>
      <c r="AO395" s="56">
        <f t="shared" ca="1" si="130"/>
        <v>0</v>
      </c>
      <c r="AP395" t="str">
        <f t="shared" si="125"/>
        <v>Storm/Sanitary Sewers_46447</v>
      </c>
      <c r="AQ395" t="str">
        <f t="shared" si="126"/>
        <v>Bitumen_46447</v>
      </c>
    </row>
    <row r="396" spans="31:43" ht="15.6" thickTop="1" thickBot="1">
      <c r="AE396" s="59" t="str">
        <f t="shared" si="127"/>
        <v>Storm/Sanitary Sewers</v>
      </c>
      <c r="AF396" s="59" t="str">
        <f t="shared" si="129"/>
        <v>Polyethylene pipes</v>
      </c>
      <c r="AG396" s="60">
        <f t="shared" si="131"/>
        <v>46447</v>
      </c>
      <c r="AH396" s="79">
        <f ca="1">IFERROR(INDEX('Core Inputs Interface'!$1:$1048576,MATCH($AE396,'Core Inputs Interface'!$H:$H,0),MATCH($AG396,'Core Inputs Interface'!$17:$17,0)),"")</f>
        <v>5094</v>
      </c>
      <c r="AI396" s="55">
        <f t="shared" si="136"/>
        <v>0.02</v>
      </c>
      <c r="AJ396" s="55">
        <f t="shared" si="132"/>
        <v>0.12828361767948987</v>
      </c>
      <c r="AK396" s="55">
        <f t="shared" si="133"/>
        <v>0.6</v>
      </c>
      <c r="AL396" s="55">
        <f t="shared" ca="1" si="137"/>
        <v>0.25</v>
      </c>
      <c r="AM396" s="65">
        <f t="shared" ca="1" si="134"/>
        <v>1.9604302453779641</v>
      </c>
      <c r="AN396" s="66">
        <f t="shared" ca="1" si="135"/>
        <v>101.88</v>
      </c>
      <c r="AO396" s="56">
        <f t="shared" ca="1" si="130"/>
        <v>1.9242542651923478E-2</v>
      </c>
      <c r="AP396" t="str">
        <f t="shared" si="125"/>
        <v>Storm/Sanitary Sewers_46447</v>
      </c>
      <c r="AQ396" t="str">
        <f t="shared" si="126"/>
        <v>Polyethylene pipes_46447</v>
      </c>
    </row>
    <row r="397" spans="31:43" ht="15.6" thickTop="1" thickBot="1">
      <c r="AE397" s="59" t="str">
        <f t="shared" si="127"/>
        <v>Storm/Sanitary Sewers</v>
      </c>
      <c r="AF397" s="59" t="str">
        <f t="shared" si="129"/>
        <v>Plant and equipment</v>
      </c>
      <c r="AG397" s="60">
        <f t="shared" si="131"/>
        <v>46447</v>
      </c>
      <c r="AH397" s="79">
        <f ca="1">IFERROR(INDEX('Core Inputs Interface'!$1:$1048576,MATCH($AE397,'Core Inputs Interface'!$H:$H,0),MATCH($AG397,'Core Inputs Interface'!$17:$17,0)),"")</f>
        <v>5094</v>
      </c>
      <c r="AI397" s="55">
        <f t="shared" si="136"/>
        <v>0.12</v>
      </c>
      <c r="AJ397" s="55">
        <f t="shared" si="132"/>
        <v>0.31546495432215926</v>
      </c>
      <c r="AK397" s="55">
        <f t="shared" si="133"/>
        <v>0.8</v>
      </c>
      <c r="AL397" s="55">
        <f t="shared" ca="1" si="137"/>
        <v>0.25</v>
      </c>
      <c r="AM397" s="65">
        <f t="shared" ca="1" si="134"/>
        <v>38.567483455609903</v>
      </c>
      <c r="AN397" s="66">
        <f t="shared" ca="1" si="135"/>
        <v>611.28</v>
      </c>
      <c r="AO397" s="56">
        <f t="shared" ca="1" si="130"/>
        <v>6.3092990864431861E-2</v>
      </c>
      <c r="AP397" t="str">
        <f t="shared" si="125"/>
        <v>Storm/Sanitary Sewers_46447</v>
      </c>
      <c r="AQ397" t="str">
        <f t="shared" si="126"/>
        <v>Plant and equipment_46447</v>
      </c>
    </row>
    <row r="398" spans="31:43" ht="15.6" thickTop="1" thickBot="1">
      <c r="AE398" s="59" t="str">
        <f t="shared" si="127"/>
        <v>Storm/Sanitary Sewers</v>
      </c>
      <c r="AF398" s="59" t="str">
        <f t="shared" si="129"/>
        <v>Electrical equipment</v>
      </c>
      <c r="AG398" s="60">
        <f t="shared" si="131"/>
        <v>46447</v>
      </c>
      <c r="AH398" s="79">
        <f ca="1">IFERROR(INDEX('Core Inputs Interface'!$1:$1048576,MATCH($AE398,'Core Inputs Interface'!$H:$H,0),MATCH($AG398,'Core Inputs Interface'!$17:$17,0)),"")</f>
        <v>5094</v>
      </c>
      <c r="AI398" s="55">
        <f t="shared" si="136"/>
        <v>0</v>
      </c>
      <c r="AJ398" s="55">
        <f t="shared" si="132"/>
        <v>0.48556692694591386</v>
      </c>
      <c r="AK398" s="55">
        <f t="shared" si="133"/>
        <v>0.8</v>
      </c>
      <c r="AL398" s="55">
        <f t="shared" ca="1" si="137"/>
        <v>0.25</v>
      </c>
      <c r="AM398" s="65">
        <f t="shared" ca="1" si="134"/>
        <v>0</v>
      </c>
      <c r="AN398" s="66">
        <f t="shared" ca="1" si="135"/>
        <v>0</v>
      </c>
      <c r="AO398" s="56">
        <f t="shared" ca="1" si="130"/>
        <v>0</v>
      </c>
      <c r="AP398" t="str">
        <f t="shared" si="125"/>
        <v>Storm/Sanitary Sewers_46447</v>
      </c>
      <c r="AQ398" t="str">
        <f t="shared" si="126"/>
        <v>Electrical equipment_46447</v>
      </c>
    </row>
    <row r="399" spans="31:43" ht="15.6" thickTop="1" thickBot="1">
      <c r="AE399" s="59" t="str">
        <f t="shared" si="127"/>
        <v>Storm/Sanitary Sewers</v>
      </c>
      <c r="AF399" s="59" t="str">
        <f t="shared" si="129"/>
        <v>Road equipment</v>
      </c>
      <c r="AG399" s="60">
        <f t="shared" si="131"/>
        <v>46447</v>
      </c>
      <c r="AH399" s="79">
        <f ca="1">IFERROR(INDEX('Core Inputs Interface'!$1:$1048576,MATCH($AE399,'Core Inputs Interface'!$H:$H,0),MATCH($AG399,'Core Inputs Interface'!$17:$17,0)),"")</f>
        <v>5094</v>
      </c>
      <c r="AI399" s="55">
        <f t="shared" si="136"/>
        <v>0</v>
      </c>
      <c r="AJ399" s="55">
        <f t="shared" si="132"/>
        <v>0.23440288076987165</v>
      </c>
      <c r="AK399" s="55">
        <f t="shared" si="133"/>
        <v>0.8</v>
      </c>
      <c r="AL399" s="55">
        <f t="shared" ca="1" si="137"/>
        <v>0.25</v>
      </c>
      <c r="AM399" s="65">
        <f t="shared" ca="1" si="134"/>
        <v>0</v>
      </c>
      <c r="AN399" s="66">
        <f t="shared" ca="1" si="135"/>
        <v>0</v>
      </c>
      <c r="AO399" s="56">
        <f t="shared" ca="1" si="130"/>
        <v>0</v>
      </c>
      <c r="AP399" t="str">
        <f t="shared" si="125"/>
        <v>Storm/Sanitary Sewers_46447</v>
      </c>
      <c r="AQ399" t="str">
        <f t="shared" si="126"/>
        <v>Road equipment_46447</v>
      </c>
    </row>
    <row r="400" spans="31:43" ht="15.6" thickTop="1" thickBot="1">
      <c r="AE400" s="59" t="str">
        <f t="shared" si="127"/>
        <v>Storm/Sanitary Sewers</v>
      </c>
      <c r="AF400" s="59" t="str">
        <f t="shared" si="129"/>
        <v>Water equipment</v>
      </c>
      <c r="AG400" s="60">
        <f t="shared" si="131"/>
        <v>46447</v>
      </c>
      <c r="AH400" s="79">
        <f ca="1">IFERROR(INDEX('Core Inputs Interface'!$1:$1048576,MATCH($AE400,'Core Inputs Interface'!$H:$H,0),MATCH($AG400,'Core Inputs Interface'!$17:$17,0)),"")</f>
        <v>5094</v>
      </c>
      <c r="AI400" s="55">
        <f t="shared" si="136"/>
        <v>0.03</v>
      </c>
      <c r="AJ400" s="55">
        <f t="shared" si="132"/>
        <v>0.53411483886586031</v>
      </c>
      <c r="AK400" s="55">
        <f t="shared" si="133"/>
        <v>0.8</v>
      </c>
      <c r="AL400" s="55">
        <f t="shared" ca="1" si="137"/>
        <v>0.25</v>
      </c>
      <c r="AM400" s="65">
        <f t="shared" ca="1" si="134"/>
        <v>16.324685935096152</v>
      </c>
      <c r="AN400" s="66">
        <f t="shared" ca="1" si="135"/>
        <v>152.82</v>
      </c>
      <c r="AO400" s="56">
        <f t="shared" ca="1" si="130"/>
        <v>0.10682296777317205</v>
      </c>
      <c r="AP400" t="str">
        <f t="shared" si="125"/>
        <v>Storm/Sanitary Sewers_46447</v>
      </c>
      <c r="AQ400" t="str">
        <f t="shared" si="126"/>
        <v>Water equipment_46447</v>
      </c>
    </row>
    <row r="401" spans="30:43" ht="15.6" thickTop="1" thickBot="1">
      <c r="AE401" s="59" t="str">
        <f t="shared" si="127"/>
        <v>Storm/Sanitary Sewers</v>
      </c>
      <c r="AF401" s="59" t="str">
        <f t="shared" si="129"/>
        <v>Diesel</v>
      </c>
      <c r="AG401" s="60">
        <f t="shared" si="131"/>
        <v>46447</v>
      </c>
      <c r="AH401" s="79">
        <f ca="1">IFERROR(INDEX('Core Inputs Interface'!$1:$1048576,MATCH($AE401,'Core Inputs Interface'!$H:$H,0),MATCH($AG401,'Core Inputs Interface'!$17:$17,0)),"")</f>
        <v>5094</v>
      </c>
      <c r="AI401" s="55">
        <f t="shared" si="136"/>
        <v>0.05</v>
      </c>
      <c r="AJ401" s="55">
        <f t="shared" si="132"/>
        <v>0.45356302165418505</v>
      </c>
      <c r="AK401" s="55">
        <f t="shared" si="133"/>
        <v>0.6</v>
      </c>
      <c r="AL401" s="55">
        <f t="shared" ca="1" si="137"/>
        <v>0.1</v>
      </c>
      <c r="AM401" s="65">
        <f t="shared" ca="1" si="134"/>
        <v>6.9313500969192567</v>
      </c>
      <c r="AN401" s="66">
        <f t="shared" ca="1" si="135"/>
        <v>254.70000000000002</v>
      </c>
      <c r="AO401" s="56">
        <f t="shared" ca="1" si="130"/>
        <v>2.7213781299251106E-2</v>
      </c>
      <c r="AP401" t="str">
        <f t="shared" si="125"/>
        <v>Storm/Sanitary Sewers_46447</v>
      </c>
      <c r="AQ401" t="str">
        <f t="shared" si="126"/>
        <v>Diesel_46447</v>
      </c>
    </row>
    <row r="402" spans="30:43" ht="15.6" thickTop="1" thickBot="1">
      <c r="AE402" s="59" t="str">
        <f t="shared" si="127"/>
        <v>Storm/Sanitary Sewers</v>
      </c>
      <c r="AF402" s="59" t="str">
        <f t="shared" si="129"/>
        <v>Vehicles</v>
      </c>
      <c r="AG402" s="60">
        <f t="shared" si="131"/>
        <v>46447</v>
      </c>
      <c r="AH402" s="79">
        <f ca="1">IFERROR(INDEX('Core Inputs Interface'!$1:$1048576,MATCH($AE402,'Core Inputs Interface'!$H:$H,0),MATCH($AG402,'Core Inputs Interface'!$17:$17,0)),"")</f>
        <v>5094</v>
      </c>
      <c r="AI402" s="55">
        <f t="shared" si="136"/>
        <v>0</v>
      </c>
      <c r="AJ402" s="55">
        <f t="shared" si="132"/>
        <v>0.52451068102476561</v>
      </c>
      <c r="AK402" s="55">
        <f t="shared" si="133"/>
        <v>0.8</v>
      </c>
      <c r="AL402" s="55">
        <f t="shared" ca="1" si="137"/>
        <v>0.25</v>
      </c>
      <c r="AM402" s="65">
        <f t="shared" ca="1" si="134"/>
        <v>0</v>
      </c>
      <c r="AN402" s="66">
        <f t="shared" ca="1" si="135"/>
        <v>0</v>
      </c>
      <c r="AO402" s="56">
        <f t="shared" ca="1" si="130"/>
        <v>0</v>
      </c>
      <c r="AP402" t="str">
        <f t="shared" si="125"/>
        <v>Storm/Sanitary Sewers_46447</v>
      </c>
      <c r="AQ402" t="str">
        <f t="shared" si="126"/>
        <v>Vehicles_46447</v>
      </c>
    </row>
    <row r="403" spans="30:43" ht="15.6" thickTop="1" thickBot="1">
      <c r="AE403" s="59" t="str">
        <f>AE402</f>
        <v>Storm/Sanitary Sewers</v>
      </c>
      <c r="AF403" s="59" t="str">
        <f t="shared" ref="AF403:AF404" si="138">AF381</f>
        <v>Machinery &amp; Equipment</v>
      </c>
      <c r="AG403" s="60">
        <f>AG402</f>
        <v>46447</v>
      </c>
      <c r="AH403" s="79">
        <f ca="1">IFERROR(INDEX('Core Inputs Interface'!$1:$1048576,MATCH($AE403,'Core Inputs Interface'!$H:$H,0),MATCH($AG403,'Core Inputs Interface'!$17:$17,0)),"")</f>
        <v>5094</v>
      </c>
      <c r="AI403" s="55">
        <f t="shared" si="136"/>
        <v>0</v>
      </c>
      <c r="AJ403" s="55">
        <f t="shared" si="132"/>
        <v>0.39238740022595126</v>
      </c>
      <c r="AK403" s="55">
        <f t="shared" si="133"/>
        <v>0.8</v>
      </c>
      <c r="AL403" s="55">
        <f t="shared" ca="1" si="137"/>
        <v>0.25</v>
      </c>
      <c r="AM403" s="65">
        <f t="shared" ca="1" si="134"/>
        <v>0</v>
      </c>
      <c r="AN403" s="66">
        <f t="shared" ca="1" si="135"/>
        <v>0</v>
      </c>
      <c r="AO403" s="56">
        <f ca="1">IFERROR(AM403/AN403,0)</f>
        <v>0</v>
      </c>
      <c r="AP403" t="str">
        <f>_xlfn.TEXTJOIN("_",,$AE403,$AG403)</f>
        <v>Storm/Sanitary Sewers_46447</v>
      </c>
      <c r="AQ403" t="str">
        <f>_xlfn.TEXTJOIN("_",,$AF403,$AG403)</f>
        <v>Machinery &amp; Equipment_46447</v>
      </c>
    </row>
    <row r="404" spans="30:43" ht="15.6" thickTop="1" thickBot="1">
      <c r="AE404" s="59" t="str">
        <f>AE403</f>
        <v>Storm/Sanitary Sewers</v>
      </c>
      <c r="AF404" s="59" t="str">
        <f t="shared" si="138"/>
        <v>Office Equipment &amp; IT</v>
      </c>
      <c r="AG404" s="60">
        <f>AG403</f>
        <v>46447</v>
      </c>
      <c r="AH404" s="79">
        <f ca="1">IFERROR(INDEX('Core Inputs Interface'!$1:$1048576,MATCH($AE404,'Core Inputs Interface'!$H:$H,0),MATCH($AG404,'Core Inputs Interface'!$17:$17,0)),"")</f>
        <v>5094</v>
      </c>
      <c r="AI404" s="55">
        <f t="shared" si="136"/>
        <v>0</v>
      </c>
      <c r="AJ404" s="55">
        <f t="shared" si="132"/>
        <v>0.15</v>
      </c>
      <c r="AK404" s="55">
        <f t="shared" si="133"/>
        <v>0.8</v>
      </c>
      <c r="AL404" s="55">
        <f t="shared" ca="1" si="137"/>
        <v>0.25</v>
      </c>
      <c r="AM404" s="65">
        <f t="shared" ca="1" si="134"/>
        <v>0</v>
      </c>
      <c r="AN404" s="66">
        <f t="shared" ca="1" si="135"/>
        <v>0</v>
      </c>
      <c r="AO404" s="56">
        <f ca="1">IFERROR(AM404/AN404,0)</f>
        <v>0</v>
      </c>
      <c r="AP404" t="str">
        <f>_xlfn.TEXTJOIN("_",,$AE404,$AG404)</f>
        <v>Storm/Sanitary Sewers_46447</v>
      </c>
      <c r="AQ404" t="str">
        <f>_xlfn.TEXTJOIN("_",,$AF404,$AG404)</f>
        <v>Office Equipment &amp; IT_46447</v>
      </c>
    </row>
    <row r="405" spans="30:43" ht="15.6" thickTop="1" thickBot="1">
      <c r="AD405">
        <f>AD361+1</f>
        <v>10</v>
      </c>
      <c r="AE405" s="57" t="str" cm="1">
        <f t="array" ref="AE405">INDEX($F$8:$Q$8,$AD405)</f>
        <v>Vehicles</v>
      </c>
      <c r="AF405" s="58" t="s">
        <v>66</v>
      </c>
      <c r="AG405" s="62">
        <v>46082</v>
      </c>
      <c r="AH405" s="79">
        <f ca="1">IFERROR(INDEX('Core Inputs Interface'!$1:$1048576,MATCH($AE405,'Core Inputs Interface'!$H:$H,0),MATCH($AG405,'Core Inputs Interface'!$17:$17,0)),"")</f>
        <v>654</v>
      </c>
      <c r="AI405" s="55">
        <f t="shared" si="136"/>
        <v>0</v>
      </c>
      <c r="AJ405" s="55" t="str">
        <f t="shared" si="132"/>
        <v>N/A</v>
      </c>
      <c r="AK405" s="55" t="str">
        <f t="shared" si="133"/>
        <v>N/A</v>
      </c>
      <c r="AL405" s="55" t="str">
        <f t="shared" ca="1" si="137"/>
        <v>N/A</v>
      </c>
      <c r="AM405" s="65">
        <f t="shared" ca="1" si="134"/>
        <v>0</v>
      </c>
      <c r="AN405" s="66">
        <f t="shared" ca="1" si="135"/>
        <v>0</v>
      </c>
      <c r="AO405" s="56">
        <f ca="1">IFERROR(AM405/AN405,0)</f>
        <v>0</v>
      </c>
      <c r="AP405" t="str">
        <f>_xlfn.TEXTJOIN("_",,$AE405,$AG405)</f>
        <v>Vehicles_46082</v>
      </c>
      <c r="AQ405" t="str">
        <f>_xlfn.TEXTJOIN("_",,$AF405,$AG405)</f>
        <v>Labour_46082</v>
      </c>
    </row>
    <row r="406" spans="30:43" ht="15.6" thickTop="1" thickBot="1">
      <c r="AE406" s="59" t="str">
        <f>AE405</f>
        <v>Vehicles</v>
      </c>
      <c r="AF406" s="58" t="s">
        <v>67</v>
      </c>
      <c r="AG406" s="60">
        <f>AG405</f>
        <v>46082</v>
      </c>
      <c r="AH406" s="79">
        <f ca="1">IFERROR(INDEX('Core Inputs Interface'!$1:$1048576,MATCH($AE406,'Core Inputs Interface'!$H:$H,0),MATCH($AG406,'Core Inputs Interface'!$17:$17,0)),"")</f>
        <v>654</v>
      </c>
      <c r="AI406" s="55">
        <f t="shared" si="136"/>
        <v>0</v>
      </c>
      <c r="AJ406" s="55" t="str">
        <f t="shared" si="132"/>
        <v>N/A</v>
      </c>
      <c r="AK406" s="55" t="str">
        <f t="shared" si="133"/>
        <v>N/A</v>
      </c>
      <c r="AL406" s="55" t="str">
        <f t="shared" ca="1" si="137"/>
        <v>N/A</v>
      </c>
      <c r="AM406" s="65">
        <f t="shared" ca="1" si="134"/>
        <v>0</v>
      </c>
      <c r="AN406" s="66">
        <f t="shared" ca="1" si="135"/>
        <v>0</v>
      </c>
      <c r="AO406" s="56">
        <f t="shared" ref="AO406:AO424" ca="1" si="139">IFERROR(AM406/AN406,0)</f>
        <v>0</v>
      </c>
      <c r="AP406" t="str">
        <f t="shared" ref="AP406:AP446" si="140">_xlfn.TEXTJOIN("_",,$AE406,$AG406)</f>
        <v>Vehicles_46082</v>
      </c>
      <c r="AQ406" t="str">
        <f t="shared" ref="AQ406:AQ446" si="141">_xlfn.TEXTJOIN("_",,$AF406,$AG406)</f>
        <v>Engineering design_46082</v>
      </c>
    </row>
    <row r="407" spans="30:43" ht="15.6" thickTop="1" thickBot="1">
      <c r="AE407" s="59" t="str">
        <f t="shared" ref="AE407:AE446" si="142">AE406</f>
        <v>Vehicles</v>
      </c>
      <c r="AF407" s="58" t="s">
        <v>26</v>
      </c>
      <c r="AG407" s="60">
        <f t="shared" ref="AG407:AG424" si="143">AG406</f>
        <v>46082</v>
      </c>
      <c r="AH407" s="79">
        <f ca="1">IFERROR(INDEX('Core Inputs Interface'!$1:$1048576,MATCH($AE407,'Core Inputs Interface'!$H:$H,0),MATCH($AG407,'Core Inputs Interface'!$17:$17,0)),"")</f>
        <v>654</v>
      </c>
      <c r="AI407" s="55">
        <f t="shared" si="136"/>
        <v>0</v>
      </c>
      <c r="AJ407" s="55">
        <f t="shared" si="132"/>
        <v>8.4066217963502693E-2</v>
      </c>
      <c r="AK407" s="55">
        <f t="shared" si="133"/>
        <v>0.6</v>
      </c>
      <c r="AL407" s="55">
        <f t="shared" ca="1" si="137"/>
        <v>0.25</v>
      </c>
      <c r="AM407" s="65">
        <f t="shared" ca="1" si="134"/>
        <v>0</v>
      </c>
      <c r="AN407" s="66">
        <f t="shared" ca="1" si="135"/>
        <v>0</v>
      </c>
      <c r="AO407" s="56">
        <f t="shared" ca="1" si="139"/>
        <v>0</v>
      </c>
      <c r="AP407" t="str">
        <f t="shared" si="140"/>
        <v>Vehicles_46082</v>
      </c>
      <c r="AQ407" t="str">
        <f t="shared" si="141"/>
        <v>Reinforcing bar_46082</v>
      </c>
    </row>
    <row r="408" spans="30:43" ht="15.6" thickTop="1" thickBot="1">
      <c r="AE408" s="59" t="str">
        <f t="shared" si="142"/>
        <v>Vehicles</v>
      </c>
      <c r="AF408" s="58" t="s">
        <v>27</v>
      </c>
      <c r="AG408" s="60">
        <f t="shared" si="143"/>
        <v>46082</v>
      </c>
      <c r="AH408" s="79">
        <f ca="1">IFERROR(INDEX('Core Inputs Interface'!$1:$1048576,MATCH($AE408,'Core Inputs Interface'!$H:$H,0),MATCH($AG408,'Core Inputs Interface'!$17:$17,0)),"")</f>
        <v>654</v>
      </c>
      <c r="AI408" s="55">
        <f t="shared" si="136"/>
        <v>0</v>
      </c>
      <c r="AJ408" s="55">
        <f t="shared" si="132"/>
        <v>0.52500514810102583</v>
      </c>
      <c r="AK408" s="55">
        <f t="shared" si="133"/>
        <v>0.6</v>
      </c>
      <c r="AL408" s="55">
        <f t="shared" ca="1" si="137"/>
        <v>0.25</v>
      </c>
      <c r="AM408" s="65">
        <f t="shared" ca="1" si="134"/>
        <v>0</v>
      </c>
      <c r="AN408" s="66">
        <f t="shared" ca="1" si="135"/>
        <v>0</v>
      </c>
      <c r="AO408" s="56">
        <f t="shared" ca="1" si="139"/>
        <v>0</v>
      </c>
      <c r="AP408" t="str">
        <f t="shared" si="140"/>
        <v>Vehicles_46082</v>
      </c>
      <c r="AQ408" t="str">
        <f t="shared" si="141"/>
        <v>Structural steel_46082</v>
      </c>
    </row>
    <row r="409" spans="30:43" ht="15.6" thickTop="1" thickBot="1">
      <c r="AE409" s="59" t="str">
        <f t="shared" si="142"/>
        <v>Vehicles</v>
      </c>
      <c r="AF409" s="58" t="s">
        <v>28</v>
      </c>
      <c r="AG409" s="60">
        <f t="shared" si="143"/>
        <v>46082</v>
      </c>
      <c r="AH409" s="79">
        <f ca="1">IFERROR(INDEX('Core Inputs Interface'!$1:$1048576,MATCH($AE409,'Core Inputs Interface'!$H:$H,0),MATCH($AG409,'Core Inputs Interface'!$17:$17,0)),"")</f>
        <v>654</v>
      </c>
      <c r="AI409" s="55">
        <f t="shared" si="136"/>
        <v>0</v>
      </c>
      <c r="AJ409" s="55">
        <f t="shared" si="132"/>
        <v>9.1004090556242881E-2</v>
      </c>
      <c r="AK409" s="55">
        <f t="shared" si="133"/>
        <v>0.6</v>
      </c>
      <c r="AL409" s="55">
        <f t="shared" ca="1" si="137"/>
        <v>0.25</v>
      </c>
      <c r="AM409" s="65">
        <f t="shared" ca="1" si="134"/>
        <v>0</v>
      </c>
      <c r="AN409" s="66">
        <f t="shared" ca="1" si="135"/>
        <v>0</v>
      </c>
      <c r="AO409" s="56">
        <f t="shared" ca="1" si="139"/>
        <v>0</v>
      </c>
      <c r="AP409" t="str">
        <f t="shared" si="140"/>
        <v>Vehicles_46082</v>
      </c>
      <c r="AQ409" t="str">
        <f t="shared" si="141"/>
        <v>Quarry Material_46082</v>
      </c>
    </row>
    <row r="410" spans="30:43" ht="15.6" thickTop="1" thickBot="1">
      <c r="AE410" s="59" t="str">
        <f t="shared" si="142"/>
        <v>Vehicles</v>
      </c>
      <c r="AF410" s="58" t="s">
        <v>30</v>
      </c>
      <c r="AG410" s="60">
        <f t="shared" si="143"/>
        <v>46082</v>
      </c>
      <c r="AH410" s="79">
        <f ca="1">IFERROR(INDEX('Core Inputs Interface'!$1:$1048576,MATCH($AE410,'Core Inputs Interface'!$H:$H,0),MATCH($AG410,'Core Inputs Interface'!$17:$17,0)),"")</f>
        <v>654</v>
      </c>
      <c r="AI410" s="55">
        <f t="shared" si="136"/>
        <v>0</v>
      </c>
      <c r="AJ410" s="55">
        <f t="shared" si="132"/>
        <v>1.1472584695084088E-2</v>
      </c>
      <c r="AK410" s="55">
        <f t="shared" si="133"/>
        <v>0.6</v>
      </c>
      <c r="AL410" s="55">
        <f t="shared" ca="1" si="137"/>
        <v>0.25</v>
      </c>
      <c r="AM410" s="65">
        <f t="shared" ca="1" si="134"/>
        <v>0</v>
      </c>
      <c r="AN410" s="66">
        <f t="shared" ca="1" si="135"/>
        <v>0</v>
      </c>
      <c r="AO410" s="56">
        <f t="shared" ca="1" si="139"/>
        <v>0</v>
      </c>
      <c r="AP410" t="str">
        <f t="shared" si="140"/>
        <v>Vehicles_46082</v>
      </c>
      <c r="AQ410" t="str">
        <f t="shared" si="141"/>
        <v>Concrete_46082</v>
      </c>
    </row>
    <row r="411" spans="30:43" ht="15.6" thickTop="1" thickBot="1">
      <c r="AE411" s="59" t="str">
        <f t="shared" si="142"/>
        <v>Vehicles</v>
      </c>
      <c r="AF411" s="57" t="s">
        <v>32</v>
      </c>
      <c r="AG411" s="60">
        <f t="shared" si="143"/>
        <v>46082</v>
      </c>
      <c r="AH411" s="79">
        <f ca="1">IFERROR(INDEX('Core Inputs Interface'!$1:$1048576,MATCH($AE411,'Core Inputs Interface'!$H:$H,0),MATCH($AG411,'Core Inputs Interface'!$17:$17,0)),"")</f>
        <v>654</v>
      </c>
      <c r="AI411" s="55">
        <f t="shared" si="136"/>
        <v>0</v>
      </c>
      <c r="AJ411" s="55">
        <f t="shared" si="132"/>
        <v>9.8410961434768088E-2</v>
      </c>
      <c r="AK411" s="55">
        <f t="shared" si="133"/>
        <v>0.6</v>
      </c>
      <c r="AL411" s="55">
        <f t="shared" ca="1" si="137"/>
        <v>0.25</v>
      </c>
      <c r="AM411" s="65">
        <f t="shared" ca="1" si="134"/>
        <v>0</v>
      </c>
      <c r="AN411" s="66">
        <f t="shared" ca="1" si="135"/>
        <v>0</v>
      </c>
      <c r="AO411" s="56">
        <f t="shared" ca="1" si="139"/>
        <v>0</v>
      </c>
      <c r="AP411" t="str">
        <f t="shared" si="140"/>
        <v>Vehicles_46082</v>
      </c>
      <c r="AQ411" t="str">
        <f t="shared" si="141"/>
        <v>Masonry_46082</v>
      </c>
    </row>
    <row r="412" spans="30:43" ht="15.6" thickTop="1" thickBot="1">
      <c r="AE412" s="59" t="str">
        <f t="shared" si="142"/>
        <v>Vehicles</v>
      </c>
      <c r="AF412" s="57" t="s">
        <v>34</v>
      </c>
      <c r="AG412" s="60">
        <f t="shared" si="143"/>
        <v>46082</v>
      </c>
      <c r="AH412" s="79">
        <f ca="1">IFERROR(INDEX('Core Inputs Interface'!$1:$1048576,MATCH($AE412,'Core Inputs Interface'!$H:$H,0),MATCH($AG412,'Core Inputs Interface'!$17:$17,0)),"")</f>
        <v>654</v>
      </c>
      <c r="AI412" s="55">
        <f t="shared" si="136"/>
        <v>0</v>
      </c>
      <c r="AJ412" s="55">
        <f t="shared" si="132"/>
        <v>0.13840817436677436</v>
      </c>
      <c r="AK412" s="55">
        <f t="shared" si="133"/>
        <v>0.6</v>
      </c>
      <c r="AL412" s="55">
        <f t="shared" ca="1" si="137"/>
        <v>0.25</v>
      </c>
      <c r="AM412" s="65">
        <f t="shared" ca="1" si="134"/>
        <v>0</v>
      </c>
      <c r="AN412" s="66">
        <f t="shared" ca="1" si="135"/>
        <v>0</v>
      </c>
      <c r="AO412" s="56">
        <f t="shared" ca="1" si="139"/>
        <v>0</v>
      </c>
      <c r="AP412" t="str">
        <f t="shared" si="140"/>
        <v>Vehicles_46082</v>
      </c>
      <c r="AQ412" t="str">
        <f t="shared" si="141"/>
        <v>Wood_46082</v>
      </c>
    </row>
    <row r="413" spans="30:43" ht="15.6" thickTop="1" thickBot="1">
      <c r="AE413" s="59" t="str">
        <f t="shared" si="142"/>
        <v>Vehicles</v>
      </c>
      <c r="AF413" s="57" t="s">
        <v>36</v>
      </c>
      <c r="AG413" s="60">
        <f t="shared" si="143"/>
        <v>46082</v>
      </c>
      <c r="AH413" s="79">
        <f ca="1">IFERROR(INDEX('Core Inputs Interface'!$1:$1048576,MATCH($AE413,'Core Inputs Interface'!$H:$H,0),MATCH($AG413,'Core Inputs Interface'!$17:$17,0)),"")</f>
        <v>654</v>
      </c>
      <c r="AI413" s="55">
        <f t="shared" si="136"/>
        <v>0</v>
      </c>
      <c r="AJ413" s="55">
        <f t="shared" si="132"/>
        <v>0.80654510583379313</v>
      </c>
      <c r="AK413" s="55">
        <f t="shared" si="133"/>
        <v>0.6</v>
      </c>
      <c r="AL413" s="55">
        <f t="shared" ca="1" si="137"/>
        <v>0.25</v>
      </c>
      <c r="AM413" s="65">
        <f t="shared" ca="1" si="134"/>
        <v>0</v>
      </c>
      <c r="AN413" s="66">
        <f t="shared" ca="1" si="135"/>
        <v>0</v>
      </c>
      <c r="AO413" s="56">
        <f t="shared" ca="1" si="139"/>
        <v>0</v>
      </c>
      <c r="AP413" t="str">
        <f t="shared" si="140"/>
        <v>Vehicles_46082</v>
      </c>
      <c r="AQ413" t="str">
        <f t="shared" si="141"/>
        <v>Electrical wire_46082</v>
      </c>
    </row>
    <row r="414" spans="30:43" ht="15.6" thickTop="1" thickBot="1">
      <c r="AE414" s="59" t="str">
        <f t="shared" si="142"/>
        <v>Vehicles</v>
      </c>
      <c r="AF414" s="57" t="s">
        <v>38</v>
      </c>
      <c r="AG414" s="60">
        <f t="shared" si="143"/>
        <v>46082</v>
      </c>
      <c r="AH414" s="79">
        <f ca="1">IFERROR(INDEX('Core Inputs Interface'!$1:$1048576,MATCH($AE414,'Core Inputs Interface'!$H:$H,0),MATCH($AG414,'Core Inputs Interface'!$17:$17,0)),"")</f>
        <v>654</v>
      </c>
      <c r="AI414" s="55">
        <f t="shared" si="136"/>
        <v>0</v>
      </c>
      <c r="AJ414" s="55">
        <f t="shared" si="132"/>
        <v>0.24210307145623419</v>
      </c>
      <c r="AK414" s="55">
        <f t="shared" si="133"/>
        <v>0.6</v>
      </c>
      <c r="AL414" s="55">
        <f t="shared" ca="1" si="137"/>
        <v>0.25</v>
      </c>
      <c r="AM414" s="65">
        <f t="shared" ca="1" si="134"/>
        <v>0</v>
      </c>
      <c r="AN414" s="66">
        <f t="shared" ca="1" si="135"/>
        <v>0</v>
      </c>
      <c r="AO414" s="56">
        <f t="shared" ca="1" si="139"/>
        <v>0</v>
      </c>
      <c r="AP414" t="str">
        <f t="shared" si="140"/>
        <v>Vehicles_46082</v>
      </c>
      <c r="AQ414" t="str">
        <f t="shared" si="141"/>
        <v>Glass_46082</v>
      </c>
    </row>
    <row r="415" spans="30:43" ht="15.6" thickTop="1" thickBot="1">
      <c r="AE415" s="59" t="str">
        <f t="shared" si="142"/>
        <v>Vehicles</v>
      </c>
      <c r="AF415" s="57" t="s">
        <v>40</v>
      </c>
      <c r="AG415" s="60">
        <f t="shared" si="143"/>
        <v>46082</v>
      </c>
      <c r="AH415" s="79">
        <f ca="1">IFERROR(INDEX('Core Inputs Interface'!$1:$1048576,MATCH($AE415,'Core Inputs Interface'!$H:$H,0),MATCH($AG415,'Core Inputs Interface'!$17:$17,0)),"")</f>
        <v>654</v>
      </c>
      <c r="AI415" s="55">
        <f t="shared" si="136"/>
        <v>0</v>
      </c>
      <c r="AJ415" s="55">
        <f t="shared" si="132"/>
        <v>2.4772729573316262E-4</v>
      </c>
      <c r="AK415" s="55">
        <f t="shared" si="133"/>
        <v>0.6</v>
      </c>
      <c r="AL415" s="55">
        <f t="shared" ca="1" si="137"/>
        <v>0.25</v>
      </c>
      <c r="AM415" s="65">
        <f t="shared" ca="1" si="134"/>
        <v>0</v>
      </c>
      <c r="AN415" s="66">
        <f t="shared" ca="1" si="135"/>
        <v>0</v>
      </c>
      <c r="AO415" s="56">
        <f t="shared" ca="1" si="139"/>
        <v>0</v>
      </c>
      <c r="AP415" t="str">
        <f t="shared" si="140"/>
        <v>Vehicles_46082</v>
      </c>
      <c r="AQ415" t="str">
        <f t="shared" si="141"/>
        <v>Roofing_46082</v>
      </c>
    </row>
    <row r="416" spans="30:43" ht="15.6" thickTop="1" thickBot="1">
      <c r="AE416" s="59" t="str">
        <f t="shared" si="142"/>
        <v>Vehicles</v>
      </c>
      <c r="AF416" s="57" t="s">
        <v>42</v>
      </c>
      <c r="AG416" s="60">
        <f t="shared" si="143"/>
        <v>46082</v>
      </c>
      <c r="AH416" s="79">
        <f ca="1">IFERROR(INDEX('Core Inputs Interface'!$1:$1048576,MATCH($AE416,'Core Inputs Interface'!$H:$H,0),MATCH($AG416,'Core Inputs Interface'!$17:$17,0)),"")</f>
        <v>654</v>
      </c>
      <c r="AI416" s="55">
        <f t="shared" si="136"/>
        <v>0</v>
      </c>
      <c r="AJ416" s="55">
        <f t="shared" si="132"/>
        <v>0.54050345117059384</v>
      </c>
      <c r="AK416" s="55">
        <f t="shared" si="133"/>
        <v>0.6</v>
      </c>
      <c r="AL416" s="55">
        <f t="shared" ca="1" si="137"/>
        <v>0.25</v>
      </c>
      <c r="AM416" s="65">
        <f t="shared" ca="1" si="134"/>
        <v>0</v>
      </c>
      <c r="AN416" s="66">
        <f t="shared" ca="1" si="135"/>
        <v>0</v>
      </c>
      <c r="AO416" s="56">
        <f t="shared" ca="1" si="139"/>
        <v>0</v>
      </c>
      <c r="AP416" t="str">
        <f t="shared" si="140"/>
        <v>Vehicles_46082</v>
      </c>
      <c r="AQ416" t="str">
        <f t="shared" si="141"/>
        <v>Interior_46082</v>
      </c>
    </row>
    <row r="417" spans="31:43" ht="15.6" thickTop="1" thickBot="1">
      <c r="AE417" s="59" t="str">
        <f t="shared" si="142"/>
        <v>Vehicles</v>
      </c>
      <c r="AF417" s="57" t="s">
        <v>44</v>
      </c>
      <c r="AG417" s="60">
        <f t="shared" si="143"/>
        <v>46082</v>
      </c>
      <c r="AH417" s="79">
        <f ca="1">IFERROR(INDEX('Core Inputs Interface'!$1:$1048576,MATCH($AE417,'Core Inputs Interface'!$H:$H,0),MATCH($AG417,'Core Inputs Interface'!$17:$17,0)),"")</f>
        <v>654</v>
      </c>
      <c r="AI417" s="55">
        <f t="shared" si="136"/>
        <v>0</v>
      </c>
      <c r="AJ417" s="55">
        <f t="shared" si="132"/>
        <v>0.14985905317691026</v>
      </c>
      <c r="AK417" s="55">
        <f t="shared" si="133"/>
        <v>0.6</v>
      </c>
      <c r="AL417" s="55">
        <f t="shared" ca="1" si="137"/>
        <v>0.25</v>
      </c>
      <c r="AM417" s="65">
        <f t="shared" ca="1" si="134"/>
        <v>0</v>
      </c>
      <c r="AN417" s="66">
        <f t="shared" ca="1" si="135"/>
        <v>0</v>
      </c>
      <c r="AO417" s="56">
        <f t="shared" ca="1" si="139"/>
        <v>0</v>
      </c>
      <c r="AP417" t="str">
        <f t="shared" si="140"/>
        <v>Vehicles_46082</v>
      </c>
      <c r="AQ417" t="str">
        <f t="shared" si="141"/>
        <v>Bitumen_46082</v>
      </c>
    </row>
    <row r="418" spans="31:43" ht="15.6" thickTop="1" thickBot="1">
      <c r="AE418" s="59" t="str">
        <f t="shared" si="142"/>
        <v>Vehicles</v>
      </c>
      <c r="AF418" s="57" t="s">
        <v>46</v>
      </c>
      <c r="AG418" s="60">
        <f t="shared" si="143"/>
        <v>46082</v>
      </c>
      <c r="AH418" s="79">
        <f ca="1">IFERROR(INDEX('Core Inputs Interface'!$1:$1048576,MATCH($AE418,'Core Inputs Interface'!$H:$H,0),MATCH($AG418,'Core Inputs Interface'!$17:$17,0)),"")</f>
        <v>654</v>
      </c>
      <c r="AI418" s="55">
        <f t="shared" si="136"/>
        <v>0</v>
      </c>
      <c r="AJ418" s="55">
        <f t="shared" si="132"/>
        <v>0.12828361767948987</v>
      </c>
      <c r="AK418" s="55">
        <f t="shared" si="133"/>
        <v>0.6</v>
      </c>
      <c r="AL418" s="55">
        <f t="shared" ca="1" si="137"/>
        <v>0.25</v>
      </c>
      <c r="AM418" s="65">
        <f t="shared" ca="1" si="134"/>
        <v>0</v>
      </c>
      <c r="AN418" s="66">
        <f t="shared" ca="1" si="135"/>
        <v>0</v>
      </c>
      <c r="AO418" s="56">
        <f t="shared" ca="1" si="139"/>
        <v>0</v>
      </c>
      <c r="AP418" t="str">
        <f t="shared" si="140"/>
        <v>Vehicles_46082</v>
      </c>
      <c r="AQ418" t="str">
        <f t="shared" si="141"/>
        <v>Polyethylene pipes_46082</v>
      </c>
    </row>
    <row r="419" spans="31:43" ht="15.6" thickTop="1" thickBot="1">
      <c r="AE419" s="59" t="str">
        <f t="shared" si="142"/>
        <v>Vehicles</v>
      </c>
      <c r="AF419" s="57" t="s">
        <v>48</v>
      </c>
      <c r="AG419" s="60">
        <f t="shared" si="143"/>
        <v>46082</v>
      </c>
      <c r="AH419" s="79">
        <f ca="1">IFERROR(INDEX('Core Inputs Interface'!$1:$1048576,MATCH($AE419,'Core Inputs Interface'!$H:$H,0),MATCH($AG419,'Core Inputs Interface'!$17:$17,0)),"")</f>
        <v>654</v>
      </c>
      <c r="AI419" s="55">
        <f t="shared" si="136"/>
        <v>0</v>
      </c>
      <c r="AJ419" s="55">
        <f t="shared" si="132"/>
        <v>0.31546495432215926</v>
      </c>
      <c r="AK419" s="55">
        <f t="shared" si="133"/>
        <v>0.8</v>
      </c>
      <c r="AL419" s="55">
        <f t="shared" ca="1" si="137"/>
        <v>0.25</v>
      </c>
      <c r="AM419" s="65">
        <f t="shared" ca="1" si="134"/>
        <v>0</v>
      </c>
      <c r="AN419" s="66">
        <f t="shared" ca="1" si="135"/>
        <v>0</v>
      </c>
      <c r="AO419" s="56">
        <f t="shared" ca="1" si="139"/>
        <v>0</v>
      </c>
      <c r="AP419" t="str">
        <f t="shared" si="140"/>
        <v>Vehicles_46082</v>
      </c>
      <c r="AQ419" t="str">
        <f t="shared" si="141"/>
        <v>Plant and equipment_46082</v>
      </c>
    </row>
    <row r="420" spans="31:43" ht="15.6" thickTop="1" thickBot="1">
      <c r="AE420" s="59" t="str">
        <f t="shared" si="142"/>
        <v>Vehicles</v>
      </c>
      <c r="AF420" s="57" t="s">
        <v>50</v>
      </c>
      <c r="AG420" s="60">
        <f t="shared" si="143"/>
        <v>46082</v>
      </c>
      <c r="AH420" s="79">
        <f ca="1">IFERROR(INDEX('Core Inputs Interface'!$1:$1048576,MATCH($AE420,'Core Inputs Interface'!$H:$H,0),MATCH($AG420,'Core Inputs Interface'!$17:$17,0)),"")</f>
        <v>654</v>
      </c>
      <c r="AI420" s="55">
        <f t="shared" si="136"/>
        <v>0</v>
      </c>
      <c r="AJ420" s="55">
        <f t="shared" si="132"/>
        <v>0.48556692694591386</v>
      </c>
      <c r="AK420" s="55">
        <f t="shared" si="133"/>
        <v>0.8</v>
      </c>
      <c r="AL420" s="55">
        <f t="shared" ca="1" si="137"/>
        <v>0.25</v>
      </c>
      <c r="AM420" s="65">
        <f t="shared" ca="1" si="134"/>
        <v>0</v>
      </c>
      <c r="AN420" s="66">
        <f t="shared" ca="1" si="135"/>
        <v>0</v>
      </c>
      <c r="AO420" s="56">
        <f t="shared" ca="1" si="139"/>
        <v>0</v>
      </c>
      <c r="AP420" t="str">
        <f t="shared" si="140"/>
        <v>Vehicles_46082</v>
      </c>
      <c r="AQ420" t="str">
        <f t="shared" si="141"/>
        <v>Electrical equipment_46082</v>
      </c>
    </row>
    <row r="421" spans="31:43" ht="15.6" thickTop="1" thickBot="1">
      <c r="AE421" s="59" t="str">
        <f t="shared" si="142"/>
        <v>Vehicles</v>
      </c>
      <c r="AF421" s="57" t="s">
        <v>52</v>
      </c>
      <c r="AG421" s="60">
        <f t="shared" si="143"/>
        <v>46082</v>
      </c>
      <c r="AH421" s="79">
        <f ca="1">IFERROR(INDEX('Core Inputs Interface'!$1:$1048576,MATCH($AE421,'Core Inputs Interface'!$H:$H,0),MATCH($AG421,'Core Inputs Interface'!$17:$17,0)),"")</f>
        <v>654</v>
      </c>
      <c r="AI421" s="55">
        <f t="shared" si="136"/>
        <v>0</v>
      </c>
      <c r="AJ421" s="55">
        <f t="shared" si="132"/>
        <v>0.23440288076987165</v>
      </c>
      <c r="AK421" s="55">
        <f t="shared" si="133"/>
        <v>0.8</v>
      </c>
      <c r="AL421" s="55">
        <f t="shared" ca="1" si="137"/>
        <v>0.25</v>
      </c>
      <c r="AM421" s="65">
        <f t="shared" ca="1" si="134"/>
        <v>0</v>
      </c>
      <c r="AN421" s="66">
        <f t="shared" ca="1" si="135"/>
        <v>0</v>
      </c>
      <c r="AO421" s="56">
        <f t="shared" ca="1" si="139"/>
        <v>0</v>
      </c>
      <c r="AP421" t="str">
        <f t="shared" si="140"/>
        <v>Vehicles_46082</v>
      </c>
      <c r="AQ421" t="str">
        <f t="shared" si="141"/>
        <v>Road equipment_46082</v>
      </c>
    </row>
    <row r="422" spans="31:43" ht="15.6" thickTop="1" thickBot="1">
      <c r="AE422" s="59" t="str">
        <f t="shared" si="142"/>
        <v>Vehicles</v>
      </c>
      <c r="AF422" s="57" t="s">
        <v>54</v>
      </c>
      <c r="AG422" s="60">
        <f t="shared" si="143"/>
        <v>46082</v>
      </c>
      <c r="AH422" s="79">
        <f ca="1">IFERROR(INDEX('Core Inputs Interface'!$1:$1048576,MATCH($AE422,'Core Inputs Interface'!$H:$H,0),MATCH($AG422,'Core Inputs Interface'!$17:$17,0)),"")</f>
        <v>654</v>
      </c>
      <c r="AI422" s="55">
        <f t="shared" si="136"/>
        <v>0</v>
      </c>
      <c r="AJ422" s="55">
        <f t="shared" si="132"/>
        <v>0.53411483886586031</v>
      </c>
      <c r="AK422" s="55">
        <f t="shared" si="133"/>
        <v>0.8</v>
      </c>
      <c r="AL422" s="55">
        <f t="shared" ca="1" si="137"/>
        <v>0.25</v>
      </c>
      <c r="AM422" s="65">
        <f t="shared" ca="1" si="134"/>
        <v>0</v>
      </c>
      <c r="AN422" s="66">
        <f t="shared" ca="1" si="135"/>
        <v>0</v>
      </c>
      <c r="AO422" s="56">
        <f t="shared" ca="1" si="139"/>
        <v>0</v>
      </c>
      <c r="AP422" t="str">
        <f t="shared" si="140"/>
        <v>Vehicles_46082</v>
      </c>
      <c r="AQ422" t="str">
        <f t="shared" si="141"/>
        <v>Water equipment_46082</v>
      </c>
    </row>
    <row r="423" spans="31:43" ht="15.6" thickTop="1" thickBot="1">
      <c r="AE423" s="59" t="str">
        <f t="shared" si="142"/>
        <v>Vehicles</v>
      </c>
      <c r="AF423" s="57" t="s">
        <v>56</v>
      </c>
      <c r="AG423" s="60">
        <f t="shared" si="143"/>
        <v>46082</v>
      </c>
      <c r="AH423" s="79">
        <f ca="1">IFERROR(INDEX('Core Inputs Interface'!$1:$1048576,MATCH($AE423,'Core Inputs Interface'!$H:$H,0),MATCH($AG423,'Core Inputs Interface'!$17:$17,0)),"")</f>
        <v>654</v>
      </c>
      <c r="AI423" s="55">
        <f t="shared" si="136"/>
        <v>0</v>
      </c>
      <c r="AJ423" s="55">
        <f t="shared" si="132"/>
        <v>0.45356302165418505</v>
      </c>
      <c r="AK423" s="55">
        <f t="shared" si="133"/>
        <v>0.6</v>
      </c>
      <c r="AL423" s="55">
        <f t="shared" ca="1" si="137"/>
        <v>0.1</v>
      </c>
      <c r="AM423" s="65">
        <f t="shared" ca="1" si="134"/>
        <v>0</v>
      </c>
      <c r="AN423" s="66">
        <f t="shared" ca="1" si="135"/>
        <v>0</v>
      </c>
      <c r="AO423" s="56">
        <f t="shared" ca="1" si="139"/>
        <v>0</v>
      </c>
      <c r="AP423" t="str">
        <f t="shared" si="140"/>
        <v>Vehicles_46082</v>
      </c>
      <c r="AQ423" t="str">
        <f t="shared" si="141"/>
        <v>Diesel_46082</v>
      </c>
    </row>
    <row r="424" spans="31:43" ht="15.6" thickTop="1" thickBot="1">
      <c r="AE424" s="59" t="str">
        <f t="shared" si="142"/>
        <v>Vehicles</v>
      </c>
      <c r="AF424" s="57" t="s">
        <v>49</v>
      </c>
      <c r="AG424" s="60">
        <f t="shared" si="143"/>
        <v>46082</v>
      </c>
      <c r="AH424" s="79">
        <f ca="1">IFERROR(INDEX('Core Inputs Interface'!$1:$1048576,MATCH($AE424,'Core Inputs Interface'!$H:$H,0),MATCH($AG424,'Core Inputs Interface'!$17:$17,0)),"")</f>
        <v>654</v>
      </c>
      <c r="AI424" s="55">
        <f t="shared" si="136"/>
        <v>1</v>
      </c>
      <c r="AJ424" s="55">
        <f t="shared" si="132"/>
        <v>0.52451068102476561</v>
      </c>
      <c r="AK424" s="55">
        <f t="shared" si="133"/>
        <v>0.8</v>
      </c>
      <c r="AL424" s="55">
        <f t="shared" ca="1" si="137"/>
        <v>0.25</v>
      </c>
      <c r="AM424" s="65">
        <f t="shared" ca="1" si="134"/>
        <v>68.605997078039351</v>
      </c>
      <c r="AN424" s="66">
        <f t="shared" ca="1" si="135"/>
        <v>654</v>
      </c>
      <c r="AO424" s="56">
        <f t="shared" ca="1" si="139"/>
        <v>0.10490213620495313</v>
      </c>
      <c r="AP424" t="str">
        <f t="shared" si="140"/>
        <v>Vehicles_46082</v>
      </c>
      <c r="AQ424" t="str">
        <f t="shared" si="141"/>
        <v>Vehicles_46082</v>
      </c>
    </row>
    <row r="425" spans="31:43" ht="15.6" thickTop="1" thickBot="1">
      <c r="AE425" s="59" t="str">
        <f>AE424</f>
        <v>Vehicles</v>
      </c>
      <c r="AF425" s="57" t="s">
        <v>51</v>
      </c>
      <c r="AG425" s="60">
        <f>AG424</f>
        <v>46082</v>
      </c>
      <c r="AH425" s="79">
        <f ca="1">IFERROR(INDEX('Core Inputs Interface'!$1:$1048576,MATCH($AE425,'Core Inputs Interface'!$H:$H,0),MATCH($AG425,'Core Inputs Interface'!$17:$17,0)),"")</f>
        <v>654</v>
      </c>
      <c r="AI425" s="55">
        <f t="shared" si="136"/>
        <v>0</v>
      </c>
      <c r="AJ425" s="55">
        <f t="shared" si="132"/>
        <v>0.39238740022595126</v>
      </c>
      <c r="AK425" s="55">
        <f t="shared" si="133"/>
        <v>0.8</v>
      </c>
      <c r="AL425" s="55">
        <f t="shared" ca="1" si="137"/>
        <v>0.25</v>
      </c>
      <c r="AM425" s="65">
        <f t="shared" ca="1" si="134"/>
        <v>0</v>
      </c>
      <c r="AN425" s="66">
        <f t="shared" ca="1" si="135"/>
        <v>0</v>
      </c>
      <c r="AO425" s="56">
        <f ca="1">IFERROR(AM425/AN425,0)</f>
        <v>0</v>
      </c>
      <c r="AP425" t="str">
        <f>_xlfn.TEXTJOIN("_",,$AE425,$AG425)</f>
        <v>Vehicles_46082</v>
      </c>
      <c r="AQ425" t="str">
        <f>_xlfn.TEXTJOIN("_",,$AF425,$AG425)</f>
        <v>Machinery &amp; Equipment_46082</v>
      </c>
    </row>
    <row r="426" spans="31:43" ht="15.6" thickTop="1" thickBot="1">
      <c r="AE426" s="59" t="str">
        <f>AE425</f>
        <v>Vehicles</v>
      </c>
      <c r="AF426" s="57" t="s">
        <v>53</v>
      </c>
      <c r="AG426" s="60">
        <f>AG425</f>
        <v>46082</v>
      </c>
      <c r="AH426" s="79">
        <f ca="1">IFERROR(INDEX('Core Inputs Interface'!$1:$1048576,MATCH($AE426,'Core Inputs Interface'!$H:$H,0),MATCH($AG426,'Core Inputs Interface'!$17:$17,0)),"")</f>
        <v>654</v>
      </c>
      <c r="AI426" s="55">
        <f t="shared" si="136"/>
        <v>0</v>
      </c>
      <c r="AJ426" s="55">
        <f t="shared" si="132"/>
        <v>0.15</v>
      </c>
      <c r="AK426" s="55">
        <f t="shared" si="133"/>
        <v>0.8</v>
      </c>
      <c r="AL426" s="55">
        <f t="shared" ca="1" si="137"/>
        <v>0.25</v>
      </c>
      <c r="AM426" s="65">
        <f t="shared" ca="1" si="134"/>
        <v>0</v>
      </c>
      <c r="AN426" s="66">
        <f t="shared" ca="1" si="135"/>
        <v>0</v>
      </c>
      <c r="AO426" s="56">
        <f ca="1">IFERROR(AM426/AN426,0)</f>
        <v>0</v>
      </c>
      <c r="AP426" t="str">
        <f>_xlfn.TEXTJOIN("_",,$AE426,$AG426)</f>
        <v>Vehicles_46082</v>
      </c>
      <c r="AQ426" t="str">
        <f>_xlfn.TEXTJOIN("_",,$AF426,$AG426)</f>
        <v>Office Equipment &amp; IT_46082</v>
      </c>
    </row>
    <row r="427" spans="31:43" ht="15.6" thickTop="1" thickBot="1">
      <c r="AE427" s="59" t="str">
        <f>AE424</f>
        <v>Vehicles</v>
      </c>
      <c r="AF427" s="59" t="str">
        <f t="shared" ref="AF427:AF446" si="144">AF405</f>
        <v>Labour</v>
      </c>
      <c r="AG427" s="61">
        <f>EDATE(AG405,12)</f>
        <v>46447</v>
      </c>
      <c r="AH427" s="79">
        <f ca="1">IFERROR(INDEX('Core Inputs Interface'!$1:$1048576,MATCH($AE427,'Core Inputs Interface'!$H:$H,0),MATCH($AG427,'Core Inputs Interface'!$17:$17,0)),"")</f>
        <v>687</v>
      </c>
      <c r="AI427" s="55">
        <f t="shared" si="136"/>
        <v>0</v>
      </c>
      <c r="AJ427" s="55" t="str">
        <f t="shared" si="132"/>
        <v>N/A</v>
      </c>
      <c r="AK427" s="55" t="str">
        <f t="shared" si="133"/>
        <v>N/A</v>
      </c>
      <c r="AL427" s="55" t="str">
        <f t="shared" ca="1" si="137"/>
        <v>N/A</v>
      </c>
      <c r="AM427" s="65">
        <f t="shared" ca="1" si="134"/>
        <v>0</v>
      </c>
      <c r="AN427" s="66">
        <f t="shared" ca="1" si="135"/>
        <v>0</v>
      </c>
      <c r="AO427" s="56">
        <f t="shared" ref="AO427:AO446" ca="1" si="145">IFERROR(AM427/AN427,0)</f>
        <v>0</v>
      </c>
      <c r="AP427" t="str">
        <f t="shared" si="140"/>
        <v>Vehicles_46447</v>
      </c>
      <c r="AQ427" t="str">
        <f t="shared" si="141"/>
        <v>Labour_46447</v>
      </c>
    </row>
    <row r="428" spans="31:43" ht="15.6" thickTop="1" thickBot="1">
      <c r="AE428" s="59" t="str">
        <f t="shared" si="142"/>
        <v>Vehicles</v>
      </c>
      <c r="AF428" s="59" t="str">
        <f t="shared" si="144"/>
        <v>Engineering design</v>
      </c>
      <c r="AG428" s="60">
        <f>AG427</f>
        <v>46447</v>
      </c>
      <c r="AH428" s="79">
        <f ca="1">IFERROR(INDEX('Core Inputs Interface'!$1:$1048576,MATCH($AE428,'Core Inputs Interface'!$H:$H,0),MATCH($AG428,'Core Inputs Interface'!$17:$17,0)),"")</f>
        <v>687</v>
      </c>
      <c r="AI428" s="55">
        <f t="shared" si="136"/>
        <v>0</v>
      </c>
      <c r="AJ428" s="55" t="str">
        <f t="shared" si="132"/>
        <v>N/A</v>
      </c>
      <c r="AK428" s="55" t="str">
        <f t="shared" si="133"/>
        <v>N/A</v>
      </c>
      <c r="AL428" s="55" t="str">
        <f t="shared" ca="1" si="137"/>
        <v>N/A</v>
      </c>
      <c r="AM428" s="65">
        <f t="shared" ca="1" si="134"/>
        <v>0</v>
      </c>
      <c r="AN428" s="66">
        <f t="shared" ca="1" si="135"/>
        <v>0</v>
      </c>
      <c r="AO428" s="56">
        <f t="shared" ca="1" si="145"/>
        <v>0</v>
      </c>
      <c r="AP428" t="str">
        <f t="shared" si="140"/>
        <v>Vehicles_46447</v>
      </c>
      <c r="AQ428" t="str">
        <f t="shared" si="141"/>
        <v>Engineering design_46447</v>
      </c>
    </row>
    <row r="429" spans="31:43" ht="15.6" thickTop="1" thickBot="1">
      <c r="AE429" s="59" t="str">
        <f t="shared" si="142"/>
        <v>Vehicles</v>
      </c>
      <c r="AF429" s="59" t="str">
        <f t="shared" si="144"/>
        <v>Reinforcing bar</v>
      </c>
      <c r="AG429" s="60">
        <f t="shared" ref="AG429:AG446" si="146">AG428</f>
        <v>46447</v>
      </c>
      <c r="AH429" s="79">
        <f ca="1">IFERROR(INDEX('Core Inputs Interface'!$1:$1048576,MATCH($AE429,'Core Inputs Interface'!$H:$H,0),MATCH($AG429,'Core Inputs Interface'!$17:$17,0)),"")</f>
        <v>687</v>
      </c>
      <c r="AI429" s="55">
        <f t="shared" si="136"/>
        <v>0</v>
      </c>
      <c r="AJ429" s="55">
        <f t="shared" si="132"/>
        <v>8.4066217963502693E-2</v>
      </c>
      <c r="AK429" s="55">
        <f t="shared" si="133"/>
        <v>0.6</v>
      </c>
      <c r="AL429" s="55">
        <f t="shared" ca="1" si="137"/>
        <v>0.25</v>
      </c>
      <c r="AM429" s="65">
        <f t="shared" ca="1" si="134"/>
        <v>0</v>
      </c>
      <c r="AN429" s="66">
        <f t="shared" ca="1" si="135"/>
        <v>0</v>
      </c>
      <c r="AO429" s="56">
        <f t="shared" ca="1" si="145"/>
        <v>0</v>
      </c>
      <c r="AP429" t="str">
        <f t="shared" si="140"/>
        <v>Vehicles_46447</v>
      </c>
      <c r="AQ429" t="str">
        <f t="shared" si="141"/>
        <v>Reinforcing bar_46447</v>
      </c>
    </row>
    <row r="430" spans="31:43" ht="15.6" thickTop="1" thickBot="1">
      <c r="AE430" s="59" t="str">
        <f t="shared" si="142"/>
        <v>Vehicles</v>
      </c>
      <c r="AF430" s="59" t="str">
        <f t="shared" si="144"/>
        <v>Structural steel</v>
      </c>
      <c r="AG430" s="60">
        <f t="shared" si="146"/>
        <v>46447</v>
      </c>
      <c r="AH430" s="79">
        <f ca="1">IFERROR(INDEX('Core Inputs Interface'!$1:$1048576,MATCH($AE430,'Core Inputs Interface'!$H:$H,0),MATCH($AG430,'Core Inputs Interface'!$17:$17,0)),"")</f>
        <v>687</v>
      </c>
      <c r="AI430" s="55">
        <f t="shared" si="136"/>
        <v>0</v>
      </c>
      <c r="AJ430" s="55">
        <f t="shared" si="132"/>
        <v>0.52500514810102583</v>
      </c>
      <c r="AK430" s="55">
        <f t="shared" si="133"/>
        <v>0.6</v>
      </c>
      <c r="AL430" s="55">
        <f t="shared" ca="1" si="137"/>
        <v>0.25</v>
      </c>
      <c r="AM430" s="65">
        <f t="shared" ca="1" si="134"/>
        <v>0</v>
      </c>
      <c r="AN430" s="66">
        <f t="shared" ca="1" si="135"/>
        <v>0</v>
      </c>
      <c r="AO430" s="56">
        <f t="shared" ca="1" si="145"/>
        <v>0</v>
      </c>
      <c r="AP430" t="str">
        <f t="shared" si="140"/>
        <v>Vehicles_46447</v>
      </c>
      <c r="AQ430" t="str">
        <f t="shared" si="141"/>
        <v>Structural steel_46447</v>
      </c>
    </row>
    <row r="431" spans="31:43" ht="15.6" thickTop="1" thickBot="1">
      <c r="AE431" s="59" t="str">
        <f t="shared" si="142"/>
        <v>Vehicles</v>
      </c>
      <c r="AF431" s="59" t="str">
        <f t="shared" si="144"/>
        <v>Quarry Material</v>
      </c>
      <c r="AG431" s="60">
        <f t="shared" si="146"/>
        <v>46447</v>
      </c>
      <c r="AH431" s="79">
        <f ca="1">IFERROR(INDEX('Core Inputs Interface'!$1:$1048576,MATCH($AE431,'Core Inputs Interface'!$H:$H,0),MATCH($AG431,'Core Inputs Interface'!$17:$17,0)),"")</f>
        <v>687</v>
      </c>
      <c r="AI431" s="55">
        <f t="shared" si="136"/>
        <v>0</v>
      </c>
      <c r="AJ431" s="55">
        <f t="shared" si="132"/>
        <v>9.1004090556242881E-2</v>
      </c>
      <c r="AK431" s="55">
        <f t="shared" si="133"/>
        <v>0.6</v>
      </c>
      <c r="AL431" s="55">
        <f t="shared" ca="1" si="137"/>
        <v>0.25</v>
      </c>
      <c r="AM431" s="65">
        <f t="shared" ca="1" si="134"/>
        <v>0</v>
      </c>
      <c r="AN431" s="66">
        <f t="shared" ca="1" si="135"/>
        <v>0</v>
      </c>
      <c r="AO431" s="56">
        <f t="shared" ca="1" si="145"/>
        <v>0</v>
      </c>
      <c r="AP431" t="str">
        <f t="shared" si="140"/>
        <v>Vehicles_46447</v>
      </c>
      <c r="AQ431" t="str">
        <f t="shared" si="141"/>
        <v>Quarry Material_46447</v>
      </c>
    </row>
    <row r="432" spans="31:43" ht="15.6" thickTop="1" thickBot="1">
      <c r="AE432" s="59" t="str">
        <f t="shared" si="142"/>
        <v>Vehicles</v>
      </c>
      <c r="AF432" s="59" t="str">
        <f t="shared" si="144"/>
        <v>Concrete</v>
      </c>
      <c r="AG432" s="60">
        <f t="shared" si="146"/>
        <v>46447</v>
      </c>
      <c r="AH432" s="79">
        <f ca="1">IFERROR(INDEX('Core Inputs Interface'!$1:$1048576,MATCH($AE432,'Core Inputs Interface'!$H:$H,0),MATCH($AG432,'Core Inputs Interface'!$17:$17,0)),"")</f>
        <v>687</v>
      </c>
      <c r="AI432" s="55">
        <f t="shared" si="136"/>
        <v>0</v>
      </c>
      <c r="AJ432" s="55">
        <f t="shared" si="132"/>
        <v>1.1472584695084088E-2</v>
      </c>
      <c r="AK432" s="55">
        <f t="shared" si="133"/>
        <v>0.6</v>
      </c>
      <c r="AL432" s="55">
        <f t="shared" ca="1" si="137"/>
        <v>0.25</v>
      </c>
      <c r="AM432" s="65">
        <f t="shared" ca="1" si="134"/>
        <v>0</v>
      </c>
      <c r="AN432" s="66">
        <f t="shared" ca="1" si="135"/>
        <v>0</v>
      </c>
      <c r="AO432" s="56">
        <f t="shared" ca="1" si="145"/>
        <v>0</v>
      </c>
      <c r="AP432" t="str">
        <f t="shared" si="140"/>
        <v>Vehicles_46447</v>
      </c>
      <c r="AQ432" t="str">
        <f t="shared" si="141"/>
        <v>Concrete_46447</v>
      </c>
    </row>
    <row r="433" spans="31:43" ht="15.6" thickTop="1" thickBot="1">
      <c r="AE433" s="59" t="str">
        <f t="shared" si="142"/>
        <v>Vehicles</v>
      </c>
      <c r="AF433" s="59" t="str">
        <f t="shared" si="144"/>
        <v>Masonry</v>
      </c>
      <c r="AG433" s="60">
        <f t="shared" si="146"/>
        <v>46447</v>
      </c>
      <c r="AH433" s="79">
        <f ca="1">IFERROR(INDEX('Core Inputs Interface'!$1:$1048576,MATCH($AE433,'Core Inputs Interface'!$H:$H,0),MATCH($AG433,'Core Inputs Interface'!$17:$17,0)),"")</f>
        <v>687</v>
      </c>
      <c r="AI433" s="55">
        <f t="shared" si="136"/>
        <v>0</v>
      </c>
      <c r="AJ433" s="55">
        <f t="shared" si="132"/>
        <v>9.8410961434768088E-2</v>
      </c>
      <c r="AK433" s="55">
        <f t="shared" si="133"/>
        <v>0.6</v>
      </c>
      <c r="AL433" s="55">
        <f t="shared" ca="1" si="137"/>
        <v>0.25</v>
      </c>
      <c r="AM433" s="65">
        <f t="shared" ca="1" si="134"/>
        <v>0</v>
      </c>
      <c r="AN433" s="66">
        <f t="shared" ca="1" si="135"/>
        <v>0</v>
      </c>
      <c r="AO433" s="56">
        <f t="shared" ca="1" si="145"/>
        <v>0</v>
      </c>
      <c r="AP433" t="str">
        <f t="shared" si="140"/>
        <v>Vehicles_46447</v>
      </c>
      <c r="AQ433" t="str">
        <f t="shared" si="141"/>
        <v>Masonry_46447</v>
      </c>
    </row>
    <row r="434" spans="31:43" ht="15.6" thickTop="1" thickBot="1">
      <c r="AE434" s="59" t="str">
        <f t="shared" si="142"/>
        <v>Vehicles</v>
      </c>
      <c r="AF434" s="59" t="str">
        <f t="shared" si="144"/>
        <v>Wood</v>
      </c>
      <c r="AG434" s="60">
        <f t="shared" si="146"/>
        <v>46447</v>
      </c>
      <c r="AH434" s="79">
        <f ca="1">IFERROR(INDEX('Core Inputs Interface'!$1:$1048576,MATCH($AE434,'Core Inputs Interface'!$H:$H,0),MATCH($AG434,'Core Inputs Interface'!$17:$17,0)),"")</f>
        <v>687</v>
      </c>
      <c r="AI434" s="55">
        <f t="shared" si="136"/>
        <v>0</v>
      </c>
      <c r="AJ434" s="55">
        <f t="shared" si="132"/>
        <v>0.13840817436677436</v>
      </c>
      <c r="AK434" s="55">
        <f t="shared" si="133"/>
        <v>0.6</v>
      </c>
      <c r="AL434" s="55">
        <f t="shared" ca="1" si="137"/>
        <v>0.25</v>
      </c>
      <c r="AM434" s="65">
        <f t="shared" ca="1" si="134"/>
        <v>0</v>
      </c>
      <c r="AN434" s="66">
        <f t="shared" ca="1" si="135"/>
        <v>0</v>
      </c>
      <c r="AO434" s="56">
        <f t="shared" ca="1" si="145"/>
        <v>0</v>
      </c>
      <c r="AP434" t="str">
        <f t="shared" si="140"/>
        <v>Vehicles_46447</v>
      </c>
      <c r="AQ434" t="str">
        <f t="shared" si="141"/>
        <v>Wood_46447</v>
      </c>
    </row>
    <row r="435" spans="31:43" ht="15.6" thickTop="1" thickBot="1">
      <c r="AE435" s="59" t="str">
        <f t="shared" si="142"/>
        <v>Vehicles</v>
      </c>
      <c r="AF435" s="59" t="str">
        <f t="shared" si="144"/>
        <v>Electrical wire</v>
      </c>
      <c r="AG435" s="60">
        <f t="shared" si="146"/>
        <v>46447</v>
      </c>
      <c r="AH435" s="79">
        <f ca="1">IFERROR(INDEX('Core Inputs Interface'!$1:$1048576,MATCH($AE435,'Core Inputs Interface'!$H:$H,0),MATCH($AG435,'Core Inputs Interface'!$17:$17,0)),"")</f>
        <v>687</v>
      </c>
      <c r="AI435" s="55">
        <f t="shared" si="136"/>
        <v>0</v>
      </c>
      <c r="AJ435" s="55">
        <f t="shared" si="132"/>
        <v>0.80654510583379313</v>
      </c>
      <c r="AK435" s="55">
        <f t="shared" si="133"/>
        <v>0.6</v>
      </c>
      <c r="AL435" s="55">
        <f t="shared" ca="1" si="137"/>
        <v>0.25</v>
      </c>
      <c r="AM435" s="65">
        <f t="shared" ca="1" si="134"/>
        <v>0</v>
      </c>
      <c r="AN435" s="66">
        <f t="shared" ca="1" si="135"/>
        <v>0</v>
      </c>
      <c r="AO435" s="56">
        <f t="shared" ca="1" si="145"/>
        <v>0</v>
      </c>
      <c r="AP435" t="str">
        <f t="shared" si="140"/>
        <v>Vehicles_46447</v>
      </c>
      <c r="AQ435" t="str">
        <f t="shared" si="141"/>
        <v>Electrical wire_46447</v>
      </c>
    </row>
    <row r="436" spans="31:43" ht="15.6" thickTop="1" thickBot="1">
      <c r="AE436" s="59" t="str">
        <f t="shared" si="142"/>
        <v>Vehicles</v>
      </c>
      <c r="AF436" s="59" t="str">
        <f t="shared" si="144"/>
        <v>Glass</v>
      </c>
      <c r="AG436" s="60">
        <f t="shared" si="146"/>
        <v>46447</v>
      </c>
      <c r="AH436" s="79">
        <f ca="1">IFERROR(INDEX('Core Inputs Interface'!$1:$1048576,MATCH($AE436,'Core Inputs Interface'!$H:$H,0),MATCH($AG436,'Core Inputs Interface'!$17:$17,0)),"")</f>
        <v>687</v>
      </c>
      <c r="AI436" s="55">
        <f t="shared" si="136"/>
        <v>0</v>
      </c>
      <c r="AJ436" s="55">
        <f t="shared" si="132"/>
        <v>0.24210307145623419</v>
      </c>
      <c r="AK436" s="55">
        <f t="shared" si="133"/>
        <v>0.6</v>
      </c>
      <c r="AL436" s="55">
        <f t="shared" ca="1" si="137"/>
        <v>0.25</v>
      </c>
      <c r="AM436" s="65">
        <f t="shared" ca="1" si="134"/>
        <v>0</v>
      </c>
      <c r="AN436" s="66">
        <f t="shared" ca="1" si="135"/>
        <v>0</v>
      </c>
      <c r="AO436" s="56">
        <f t="shared" ca="1" si="145"/>
        <v>0</v>
      </c>
      <c r="AP436" t="str">
        <f t="shared" si="140"/>
        <v>Vehicles_46447</v>
      </c>
      <c r="AQ436" t="str">
        <f t="shared" si="141"/>
        <v>Glass_46447</v>
      </c>
    </row>
    <row r="437" spans="31:43" ht="15.6" thickTop="1" thickBot="1">
      <c r="AE437" s="59" t="str">
        <f t="shared" si="142"/>
        <v>Vehicles</v>
      </c>
      <c r="AF437" s="59" t="str">
        <f t="shared" si="144"/>
        <v>Roofing</v>
      </c>
      <c r="AG437" s="60">
        <f t="shared" si="146"/>
        <v>46447</v>
      </c>
      <c r="AH437" s="79">
        <f ca="1">IFERROR(INDEX('Core Inputs Interface'!$1:$1048576,MATCH($AE437,'Core Inputs Interface'!$H:$H,0),MATCH($AG437,'Core Inputs Interface'!$17:$17,0)),"")</f>
        <v>687</v>
      </c>
      <c r="AI437" s="55">
        <f t="shared" si="136"/>
        <v>0</v>
      </c>
      <c r="AJ437" s="55">
        <f t="shared" si="132"/>
        <v>2.4772729573316262E-4</v>
      </c>
      <c r="AK437" s="55">
        <f t="shared" si="133"/>
        <v>0.6</v>
      </c>
      <c r="AL437" s="55">
        <f t="shared" ca="1" si="137"/>
        <v>0.25</v>
      </c>
      <c r="AM437" s="65">
        <f t="shared" ca="1" si="134"/>
        <v>0</v>
      </c>
      <c r="AN437" s="66">
        <f t="shared" ca="1" si="135"/>
        <v>0</v>
      </c>
      <c r="AO437" s="56">
        <f t="shared" ca="1" si="145"/>
        <v>0</v>
      </c>
      <c r="AP437" t="str">
        <f t="shared" si="140"/>
        <v>Vehicles_46447</v>
      </c>
      <c r="AQ437" t="str">
        <f t="shared" si="141"/>
        <v>Roofing_46447</v>
      </c>
    </row>
    <row r="438" spans="31:43" ht="15.6" thickTop="1" thickBot="1">
      <c r="AE438" s="59" t="str">
        <f t="shared" si="142"/>
        <v>Vehicles</v>
      </c>
      <c r="AF438" s="59" t="str">
        <f t="shared" si="144"/>
        <v>Interior</v>
      </c>
      <c r="AG438" s="60">
        <f t="shared" si="146"/>
        <v>46447</v>
      </c>
      <c r="AH438" s="79">
        <f ca="1">IFERROR(INDEX('Core Inputs Interface'!$1:$1048576,MATCH($AE438,'Core Inputs Interface'!$H:$H,0),MATCH($AG438,'Core Inputs Interface'!$17:$17,0)),"")</f>
        <v>687</v>
      </c>
      <c r="AI438" s="55">
        <f t="shared" si="136"/>
        <v>0</v>
      </c>
      <c r="AJ438" s="55">
        <f t="shared" si="132"/>
        <v>0.54050345117059384</v>
      </c>
      <c r="AK438" s="55">
        <f t="shared" si="133"/>
        <v>0.6</v>
      </c>
      <c r="AL438" s="55">
        <f t="shared" ca="1" si="137"/>
        <v>0.25</v>
      </c>
      <c r="AM438" s="65">
        <f t="shared" ca="1" si="134"/>
        <v>0</v>
      </c>
      <c r="AN438" s="66">
        <f t="shared" ca="1" si="135"/>
        <v>0</v>
      </c>
      <c r="AO438" s="56">
        <f t="shared" ca="1" si="145"/>
        <v>0</v>
      </c>
      <c r="AP438" t="str">
        <f t="shared" si="140"/>
        <v>Vehicles_46447</v>
      </c>
      <c r="AQ438" t="str">
        <f t="shared" si="141"/>
        <v>Interior_46447</v>
      </c>
    </row>
    <row r="439" spans="31:43" ht="15.6" thickTop="1" thickBot="1">
      <c r="AE439" s="59" t="str">
        <f t="shared" si="142"/>
        <v>Vehicles</v>
      </c>
      <c r="AF439" s="59" t="str">
        <f t="shared" si="144"/>
        <v>Bitumen</v>
      </c>
      <c r="AG439" s="60">
        <f t="shared" si="146"/>
        <v>46447</v>
      </c>
      <c r="AH439" s="79">
        <f ca="1">IFERROR(INDEX('Core Inputs Interface'!$1:$1048576,MATCH($AE439,'Core Inputs Interface'!$H:$H,0),MATCH($AG439,'Core Inputs Interface'!$17:$17,0)),"")</f>
        <v>687</v>
      </c>
      <c r="AI439" s="55">
        <f t="shared" si="136"/>
        <v>0</v>
      </c>
      <c r="AJ439" s="55">
        <f t="shared" si="132"/>
        <v>0.14985905317691026</v>
      </c>
      <c r="AK439" s="55">
        <f t="shared" si="133"/>
        <v>0.6</v>
      </c>
      <c r="AL439" s="55">
        <f t="shared" ca="1" si="137"/>
        <v>0.25</v>
      </c>
      <c r="AM439" s="65">
        <f t="shared" ca="1" si="134"/>
        <v>0</v>
      </c>
      <c r="AN439" s="66">
        <f t="shared" ca="1" si="135"/>
        <v>0</v>
      </c>
      <c r="AO439" s="56">
        <f t="shared" ca="1" si="145"/>
        <v>0</v>
      </c>
      <c r="AP439" t="str">
        <f t="shared" si="140"/>
        <v>Vehicles_46447</v>
      </c>
      <c r="AQ439" t="str">
        <f t="shared" si="141"/>
        <v>Bitumen_46447</v>
      </c>
    </row>
    <row r="440" spans="31:43" ht="15.6" thickTop="1" thickBot="1">
      <c r="AE440" s="59" t="str">
        <f t="shared" si="142"/>
        <v>Vehicles</v>
      </c>
      <c r="AF440" s="59" t="str">
        <f t="shared" si="144"/>
        <v>Polyethylene pipes</v>
      </c>
      <c r="AG440" s="60">
        <f t="shared" si="146"/>
        <v>46447</v>
      </c>
      <c r="AH440" s="79">
        <f ca="1">IFERROR(INDEX('Core Inputs Interface'!$1:$1048576,MATCH($AE440,'Core Inputs Interface'!$H:$H,0),MATCH($AG440,'Core Inputs Interface'!$17:$17,0)),"")</f>
        <v>687</v>
      </c>
      <c r="AI440" s="55">
        <f t="shared" si="136"/>
        <v>0</v>
      </c>
      <c r="AJ440" s="55">
        <f t="shared" si="132"/>
        <v>0.12828361767948987</v>
      </c>
      <c r="AK440" s="55">
        <f t="shared" si="133"/>
        <v>0.6</v>
      </c>
      <c r="AL440" s="55">
        <f t="shared" ca="1" si="137"/>
        <v>0.25</v>
      </c>
      <c r="AM440" s="65">
        <f t="shared" ca="1" si="134"/>
        <v>0</v>
      </c>
      <c r="AN440" s="66">
        <f t="shared" ca="1" si="135"/>
        <v>0</v>
      </c>
      <c r="AO440" s="56">
        <f t="shared" ca="1" si="145"/>
        <v>0</v>
      </c>
      <c r="AP440" t="str">
        <f t="shared" si="140"/>
        <v>Vehicles_46447</v>
      </c>
      <c r="AQ440" t="str">
        <f t="shared" si="141"/>
        <v>Polyethylene pipes_46447</v>
      </c>
    </row>
    <row r="441" spans="31:43" ht="15.6" thickTop="1" thickBot="1">
      <c r="AE441" s="59" t="str">
        <f t="shared" si="142"/>
        <v>Vehicles</v>
      </c>
      <c r="AF441" s="59" t="str">
        <f t="shared" si="144"/>
        <v>Plant and equipment</v>
      </c>
      <c r="AG441" s="60">
        <f t="shared" si="146"/>
        <v>46447</v>
      </c>
      <c r="AH441" s="79">
        <f ca="1">IFERROR(INDEX('Core Inputs Interface'!$1:$1048576,MATCH($AE441,'Core Inputs Interface'!$H:$H,0),MATCH($AG441,'Core Inputs Interface'!$17:$17,0)),"")</f>
        <v>687</v>
      </c>
      <c r="AI441" s="55">
        <f t="shared" si="136"/>
        <v>0</v>
      </c>
      <c r="AJ441" s="55">
        <f t="shared" si="132"/>
        <v>0.31546495432215926</v>
      </c>
      <c r="AK441" s="55">
        <f t="shared" si="133"/>
        <v>0.8</v>
      </c>
      <c r="AL441" s="55">
        <f t="shared" ca="1" si="137"/>
        <v>0.25</v>
      </c>
      <c r="AM441" s="65">
        <f t="shared" ca="1" si="134"/>
        <v>0</v>
      </c>
      <c r="AN441" s="66">
        <f t="shared" ca="1" si="135"/>
        <v>0</v>
      </c>
      <c r="AO441" s="56">
        <f t="shared" ca="1" si="145"/>
        <v>0</v>
      </c>
      <c r="AP441" t="str">
        <f t="shared" si="140"/>
        <v>Vehicles_46447</v>
      </c>
      <c r="AQ441" t="str">
        <f t="shared" si="141"/>
        <v>Plant and equipment_46447</v>
      </c>
    </row>
    <row r="442" spans="31:43" ht="15.6" thickTop="1" thickBot="1">
      <c r="AE442" s="59" t="str">
        <f t="shared" si="142"/>
        <v>Vehicles</v>
      </c>
      <c r="AF442" s="59" t="str">
        <f t="shared" si="144"/>
        <v>Electrical equipment</v>
      </c>
      <c r="AG442" s="60">
        <f t="shared" si="146"/>
        <v>46447</v>
      </c>
      <c r="AH442" s="79">
        <f ca="1">IFERROR(INDEX('Core Inputs Interface'!$1:$1048576,MATCH($AE442,'Core Inputs Interface'!$H:$H,0),MATCH($AG442,'Core Inputs Interface'!$17:$17,0)),"")</f>
        <v>687</v>
      </c>
      <c r="AI442" s="55">
        <f t="shared" si="136"/>
        <v>0</v>
      </c>
      <c r="AJ442" s="55">
        <f t="shared" si="132"/>
        <v>0.48556692694591386</v>
      </c>
      <c r="AK442" s="55">
        <f t="shared" si="133"/>
        <v>0.8</v>
      </c>
      <c r="AL442" s="55">
        <f t="shared" ca="1" si="137"/>
        <v>0.25</v>
      </c>
      <c r="AM442" s="65">
        <f t="shared" ca="1" si="134"/>
        <v>0</v>
      </c>
      <c r="AN442" s="66">
        <f t="shared" ca="1" si="135"/>
        <v>0</v>
      </c>
      <c r="AO442" s="56">
        <f t="shared" ca="1" si="145"/>
        <v>0</v>
      </c>
      <c r="AP442" t="str">
        <f t="shared" si="140"/>
        <v>Vehicles_46447</v>
      </c>
      <c r="AQ442" t="str">
        <f t="shared" si="141"/>
        <v>Electrical equipment_46447</v>
      </c>
    </row>
    <row r="443" spans="31:43" ht="15.6" thickTop="1" thickBot="1">
      <c r="AE443" s="59" t="str">
        <f t="shared" si="142"/>
        <v>Vehicles</v>
      </c>
      <c r="AF443" s="59" t="str">
        <f t="shared" si="144"/>
        <v>Road equipment</v>
      </c>
      <c r="AG443" s="60">
        <f t="shared" si="146"/>
        <v>46447</v>
      </c>
      <c r="AH443" s="79">
        <f ca="1">IFERROR(INDEX('Core Inputs Interface'!$1:$1048576,MATCH($AE443,'Core Inputs Interface'!$H:$H,0),MATCH($AG443,'Core Inputs Interface'!$17:$17,0)),"")</f>
        <v>687</v>
      </c>
      <c r="AI443" s="55">
        <f t="shared" si="136"/>
        <v>0</v>
      </c>
      <c r="AJ443" s="55">
        <f t="shared" si="132"/>
        <v>0.23440288076987165</v>
      </c>
      <c r="AK443" s="55">
        <f t="shared" si="133"/>
        <v>0.8</v>
      </c>
      <c r="AL443" s="55">
        <f t="shared" ca="1" si="137"/>
        <v>0.25</v>
      </c>
      <c r="AM443" s="65">
        <f t="shared" ca="1" si="134"/>
        <v>0</v>
      </c>
      <c r="AN443" s="66">
        <f t="shared" ca="1" si="135"/>
        <v>0</v>
      </c>
      <c r="AO443" s="56">
        <f t="shared" ca="1" si="145"/>
        <v>0</v>
      </c>
      <c r="AP443" t="str">
        <f t="shared" si="140"/>
        <v>Vehicles_46447</v>
      </c>
      <c r="AQ443" t="str">
        <f t="shared" si="141"/>
        <v>Road equipment_46447</v>
      </c>
    </row>
    <row r="444" spans="31:43" ht="15.6" thickTop="1" thickBot="1">
      <c r="AE444" s="59" t="str">
        <f t="shared" si="142"/>
        <v>Vehicles</v>
      </c>
      <c r="AF444" s="59" t="str">
        <f t="shared" si="144"/>
        <v>Water equipment</v>
      </c>
      <c r="AG444" s="60">
        <f t="shared" si="146"/>
        <v>46447</v>
      </c>
      <c r="AH444" s="79">
        <f ca="1">IFERROR(INDEX('Core Inputs Interface'!$1:$1048576,MATCH($AE444,'Core Inputs Interface'!$H:$H,0),MATCH($AG444,'Core Inputs Interface'!$17:$17,0)),"")</f>
        <v>687</v>
      </c>
      <c r="AI444" s="55">
        <f t="shared" si="136"/>
        <v>0</v>
      </c>
      <c r="AJ444" s="55">
        <f t="shared" si="132"/>
        <v>0.53411483886586031</v>
      </c>
      <c r="AK444" s="55">
        <f t="shared" si="133"/>
        <v>0.8</v>
      </c>
      <c r="AL444" s="55">
        <f t="shared" ca="1" si="137"/>
        <v>0.25</v>
      </c>
      <c r="AM444" s="65">
        <f t="shared" ca="1" si="134"/>
        <v>0</v>
      </c>
      <c r="AN444" s="66">
        <f t="shared" ca="1" si="135"/>
        <v>0</v>
      </c>
      <c r="AO444" s="56">
        <f t="shared" ca="1" si="145"/>
        <v>0</v>
      </c>
      <c r="AP444" t="str">
        <f t="shared" si="140"/>
        <v>Vehicles_46447</v>
      </c>
      <c r="AQ444" t="str">
        <f t="shared" si="141"/>
        <v>Water equipment_46447</v>
      </c>
    </row>
    <row r="445" spans="31:43" ht="15.6" thickTop="1" thickBot="1">
      <c r="AE445" s="59" t="str">
        <f t="shared" si="142"/>
        <v>Vehicles</v>
      </c>
      <c r="AF445" s="59" t="str">
        <f t="shared" si="144"/>
        <v>Diesel</v>
      </c>
      <c r="AG445" s="60">
        <f t="shared" si="146"/>
        <v>46447</v>
      </c>
      <c r="AH445" s="79">
        <f ca="1">IFERROR(INDEX('Core Inputs Interface'!$1:$1048576,MATCH($AE445,'Core Inputs Interface'!$H:$H,0),MATCH($AG445,'Core Inputs Interface'!$17:$17,0)),"")</f>
        <v>687</v>
      </c>
      <c r="AI445" s="55">
        <f t="shared" si="136"/>
        <v>0</v>
      </c>
      <c r="AJ445" s="55">
        <f t="shared" si="132"/>
        <v>0.45356302165418505</v>
      </c>
      <c r="AK445" s="55">
        <f t="shared" si="133"/>
        <v>0.6</v>
      </c>
      <c r="AL445" s="55">
        <f t="shared" ca="1" si="137"/>
        <v>0.1</v>
      </c>
      <c r="AM445" s="65">
        <f t="shared" ca="1" si="134"/>
        <v>0</v>
      </c>
      <c r="AN445" s="66">
        <f t="shared" ca="1" si="135"/>
        <v>0</v>
      </c>
      <c r="AO445" s="56">
        <f t="shared" ca="1" si="145"/>
        <v>0</v>
      </c>
      <c r="AP445" t="str">
        <f t="shared" si="140"/>
        <v>Vehicles_46447</v>
      </c>
      <c r="AQ445" t="str">
        <f t="shared" si="141"/>
        <v>Diesel_46447</v>
      </c>
    </row>
    <row r="446" spans="31:43" ht="15.6" thickTop="1" thickBot="1">
      <c r="AE446" s="59" t="str">
        <f t="shared" si="142"/>
        <v>Vehicles</v>
      </c>
      <c r="AF446" s="59" t="str">
        <f t="shared" si="144"/>
        <v>Vehicles</v>
      </c>
      <c r="AG446" s="60">
        <f t="shared" si="146"/>
        <v>46447</v>
      </c>
      <c r="AH446" s="79">
        <f ca="1">IFERROR(INDEX('Core Inputs Interface'!$1:$1048576,MATCH($AE446,'Core Inputs Interface'!$H:$H,0),MATCH($AG446,'Core Inputs Interface'!$17:$17,0)),"")</f>
        <v>687</v>
      </c>
      <c r="AI446" s="55">
        <f t="shared" si="136"/>
        <v>1</v>
      </c>
      <c r="AJ446" s="55">
        <f t="shared" si="132"/>
        <v>0.52451068102476561</v>
      </c>
      <c r="AK446" s="55">
        <f t="shared" si="133"/>
        <v>0.8</v>
      </c>
      <c r="AL446" s="55">
        <f t="shared" ca="1" si="137"/>
        <v>0.25</v>
      </c>
      <c r="AM446" s="65">
        <f t="shared" ca="1" si="134"/>
        <v>72.067767572802794</v>
      </c>
      <c r="AN446" s="66">
        <f t="shared" ca="1" si="135"/>
        <v>687</v>
      </c>
      <c r="AO446" s="56">
        <f t="shared" ca="1" si="145"/>
        <v>0.10490213620495312</v>
      </c>
      <c r="AP446" t="str">
        <f t="shared" si="140"/>
        <v>Vehicles_46447</v>
      </c>
      <c r="AQ446" t="str">
        <f t="shared" si="141"/>
        <v>Vehicles_46447</v>
      </c>
    </row>
    <row r="447" spans="31:43" ht="15.6" thickTop="1" thickBot="1">
      <c r="AE447" s="59" t="str">
        <f>AE446</f>
        <v>Vehicles</v>
      </c>
      <c r="AF447" s="59" t="str">
        <f t="shared" ref="AF447:AF448" si="147">AF425</f>
        <v>Machinery &amp; Equipment</v>
      </c>
      <c r="AG447" s="60">
        <f>AG446</f>
        <v>46447</v>
      </c>
      <c r="AH447" s="79">
        <f ca="1">IFERROR(INDEX('Core Inputs Interface'!$1:$1048576,MATCH($AE447,'Core Inputs Interface'!$H:$H,0),MATCH($AG447,'Core Inputs Interface'!$17:$17,0)),"")</f>
        <v>687</v>
      </c>
      <c r="AI447" s="55">
        <f t="shared" si="136"/>
        <v>0</v>
      </c>
      <c r="AJ447" s="55">
        <f t="shared" si="132"/>
        <v>0.39238740022595126</v>
      </c>
      <c r="AK447" s="55">
        <f t="shared" si="133"/>
        <v>0.8</v>
      </c>
      <c r="AL447" s="55">
        <f t="shared" ca="1" si="137"/>
        <v>0.25</v>
      </c>
      <c r="AM447" s="65">
        <f t="shared" ca="1" si="134"/>
        <v>0</v>
      </c>
      <c r="AN447" s="66">
        <f t="shared" ca="1" si="135"/>
        <v>0</v>
      </c>
      <c r="AO447" s="56">
        <f ca="1">IFERROR(AM447/AN447,0)</f>
        <v>0</v>
      </c>
      <c r="AP447" t="str">
        <f>_xlfn.TEXTJOIN("_",,$AE447,$AG447)</f>
        <v>Vehicles_46447</v>
      </c>
      <c r="AQ447" t="str">
        <f>_xlfn.TEXTJOIN("_",,$AF447,$AG447)</f>
        <v>Machinery &amp; Equipment_46447</v>
      </c>
    </row>
    <row r="448" spans="31:43" ht="15.6" thickTop="1" thickBot="1">
      <c r="AE448" s="59" t="str">
        <f>AE447</f>
        <v>Vehicles</v>
      </c>
      <c r="AF448" s="59" t="str">
        <f t="shared" si="147"/>
        <v>Office Equipment &amp; IT</v>
      </c>
      <c r="AG448" s="60">
        <f>AG447</f>
        <v>46447</v>
      </c>
      <c r="AH448" s="79">
        <f ca="1">IFERROR(INDEX('Core Inputs Interface'!$1:$1048576,MATCH($AE448,'Core Inputs Interface'!$H:$H,0),MATCH($AG448,'Core Inputs Interface'!$17:$17,0)),"")</f>
        <v>687</v>
      </c>
      <c r="AI448" s="55">
        <f t="shared" si="136"/>
        <v>0</v>
      </c>
      <c r="AJ448" s="55">
        <f t="shared" si="132"/>
        <v>0.15</v>
      </c>
      <c r="AK448" s="55">
        <f t="shared" si="133"/>
        <v>0.8</v>
      </c>
      <c r="AL448" s="55">
        <f t="shared" ca="1" si="137"/>
        <v>0.25</v>
      </c>
      <c r="AM448" s="65">
        <f t="shared" ca="1" si="134"/>
        <v>0</v>
      </c>
      <c r="AN448" s="66">
        <f t="shared" ca="1" si="135"/>
        <v>0</v>
      </c>
      <c r="AO448" s="56">
        <f ca="1">IFERROR(AM448/AN448,0)</f>
        <v>0</v>
      </c>
      <c r="AP448" t="str">
        <f>_xlfn.TEXTJOIN("_",,$AE448,$AG448)</f>
        <v>Vehicles_46447</v>
      </c>
      <c r="AQ448" t="str">
        <f>_xlfn.TEXTJOIN("_",,$AF448,$AG448)</f>
        <v>Office Equipment &amp; IT_46447</v>
      </c>
    </row>
    <row r="449" spans="30:43" ht="15.6" thickTop="1" thickBot="1">
      <c r="AD449">
        <f>AD405+1</f>
        <v>11</v>
      </c>
      <c r="AE449" s="57" t="str" cm="1">
        <f t="array" ref="AE449">INDEX($F$8:$Q$8,$AD449)</f>
        <v>Machinery &amp; Equipment</v>
      </c>
      <c r="AF449" s="58" t="s">
        <v>66</v>
      </c>
      <c r="AG449" s="62">
        <v>46082</v>
      </c>
      <c r="AH449" s="79">
        <f ca="1">IFERROR(INDEX('Core Inputs Interface'!$1:$1048576,MATCH($AE449,'Core Inputs Interface'!$H:$H,0),MATCH($AG449,'Core Inputs Interface'!$17:$17,0)),"")</f>
        <v>0</v>
      </c>
      <c r="AI449" s="55">
        <f t="shared" si="136"/>
        <v>0</v>
      </c>
      <c r="AJ449" s="55" t="str">
        <f t="shared" si="132"/>
        <v>N/A</v>
      </c>
      <c r="AK449" s="55" t="str">
        <f t="shared" si="133"/>
        <v>N/A</v>
      </c>
      <c r="AL449" s="55" t="str">
        <f t="shared" ca="1" si="137"/>
        <v>N/A</v>
      </c>
      <c r="AM449" s="65">
        <f t="shared" ca="1" si="134"/>
        <v>0</v>
      </c>
      <c r="AN449" s="66">
        <f t="shared" ca="1" si="135"/>
        <v>0</v>
      </c>
      <c r="AO449" s="56">
        <f ca="1">IFERROR(AM449/AN449,0)</f>
        <v>0</v>
      </c>
      <c r="AP449" t="str">
        <f>_xlfn.TEXTJOIN("_",,$AE449,$AG449)</f>
        <v>Machinery &amp; Equipment_46082</v>
      </c>
      <c r="AQ449" t="str">
        <f>_xlfn.TEXTJOIN("_",,$AF449,$AG449)</f>
        <v>Labour_46082</v>
      </c>
    </row>
    <row r="450" spans="30:43" ht="15.6" thickTop="1" thickBot="1">
      <c r="AE450" s="59" t="str">
        <f>AE449</f>
        <v>Machinery &amp; Equipment</v>
      </c>
      <c r="AF450" s="58" t="s">
        <v>67</v>
      </c>
      <c r="AG450" s="60">
        <f>AG449</f>
        <v>46082</v>
      </c>
      <c r="AH450" s="79">
        <f ca="1">IFERROR(INDEX('Core Inputs Interface'!$1:$1048576,MATCH($AE450,'Core Inputs Interface'!$H:$H,0),MATCH($AG450,'Core Inputs Interface'!$17:$17,0)),"")</f>
        <v>0</v>
      </c>
      <c r="AI450" s="55">
        <f t="shared" si="136"/>
        <v>0</v>
      </c>
      <c r="AJ450" s="55" t="str">
        <f t="shared" si="132"/>
        <v>N/A</v>
      </c>
      <c r="AK450" s="55" t="str">
        <f t="shared" si="133"/>
        <v>N/A</v>
      </c>
      <c r="AL450" s="55" t="str">
        <f t="shared" ca="1" si="137"/>
        <v>N/A</v>
      </c>
      <c r="AM450" s="65">
        <f t="shared" ca="1" si="134"/>
        <v>0</v>
      </c>
      <c r="AN450" s="66">
        <f t="shared" ca="1" si="135"/>
        <v>0</v>
      </c>
      <c r="AO450" s="56">
        <f t="shared" ref="AO450:AO468" ca="1" si="148">IFERROR(AM450/AN450,0)</f>
        <v>0</v>
      </c>
      <c r="AP450" t="str">
        <f t="shared" ref="AP450:AP490" si="149">_xlfn.TEXTJOIN("_",,$AE450,$AG450)</f>
        <v>Machinery &amp; Equipment_46082</v>
      </c>
      <c r="AQ450" t="str">
        <f t="shared" ref="AQ450:AQ490" si="150">_xlfn.TEXTJOIN("_",,$AF450,$AG450)</f>
        <v>Engineering design_46082</v>
      </c>
    </row>
    <row r="451" spans="30:43" ht="15.6" thickTop="1" thickBot="1">
      <c r="AE451" s="59" t="str">
        <f t="shared" ref="AE451:AE490" si="151">AE450</f>
        <v>Machinery &amp; Equipment</v>
      </c>
      <c r="AF451" s="58" t="s">
        <v>26</v>
      </c>
      <c r="AG451" s="60">
        <f t="shared" ref="AG451:AG468" si="152">AG450</f>
        <v>46082</v>
      </c>
      <c r="AH451" s="79">
        <f ca="1">IFERROR(INDEX('Core Inputs Interface'!$1:$1048576,MATCH($AE451,'Core Inputs Interface'!$H:$H,0),MATCH($AG451,'Core Inputs Interface'!$17:$17,0)),"")</f>
        <v>0</v>
      </c>
      <c r="AI451" s="55">
        <f t="shared" si="136"/>
        <v>0</v>
      </c>
      <c r="AJ451" s="55">
        <f t="shared" si="132"/>
        <v>8.4066217963502693E-2</v>
      </c>
      <c r="AK451" s="55">
        <f t="shared" si="133"/>
        <v>0.6</v>
      </c>
      <c r="AL451" s="55">
        <f t="shared" ca="1" si="137"/>
        <v>0.25</v>
      </c>
      <c r="AM451" s="65">
        <f t="shared" ca="1" si="134"/>
        <v>0</v>
      </c>
      <c r="AN451" s="66">
        <f t="shared" ca="1" si="135"/>
        <v>0</v>
      </c>
      <c r="AO451" s="56">
        <f t="shared" ca="1" si="148"/>
        <v>0</v>
      </c>
      <c r="AP451" t="str">
        <f t="shared" si="149"/>
        <v>Machinery &amp; Equipment_46082</v>
      </c>
      <c r="AQ451" t="str">
        <f t="shared" si="150"/>
        <v>Reinforcing bar_46082</v>
      </c>
    </row>
    <row r="452" spans="30:43" ht="15.6" thickTop="1" thickBot="1">
      <c r="AE452" s="59" t="str">
        <f t="shared" si="151"/>
        <v>Machinery &amp; Equipment</v>
      </c>
      <c r="AF452" s="58" t="s">
        <v>27</v>
      </c>
      <c r="AG452" s="60">
        <f t="shared" si="152"/>
        <v>46082</v>
      </c>
      <c r="AH452" s="79">
        <f ca="1">IFERROR(INDEX('Core Inputs Interface'!$1:$1048576,MATCH($AE452,'Core Inputs Interface'!$H:$H,0),MATCH($AG452,'Core Inputs Interface'!$17:$17,0)),"")</f>
        <v>0</v>
      </c>
      <c r="AI452" s="55">
        <f t="shared" si="136"/>
        <v>0</v>
      </c>
      <c r="AJ452" s="55">
        <f t="shared" si="132"/>
        <v>0.52500514810102583</v>
      </c>
      <c r="AK452" s="55">
        <f t="shared" si="133"/>
        <v>0.6</v>
      </c>
      <c r="AL452" s="55">
        <f t="shared" ca="1" si="137"/>
        <v>0.25</v>
      </c>
      <c r="AM452" s="65">
        <f t="shared" ca="1" si="134"/>
        <v>0</v>
      </c>
      <c r="AN452" s="66">
        <f t="shared" ca="1" si="135"/>
        <v>0</v>
      </c>
      <c r="AO452" s="56">
        <f t="shared" ca="1" si="148"/>
        <v>0</v>
      </c>
      <c r="AP452" t="str">
        <f t="shared" si="149"/>
        <v>Machinery &amp; Equipment_46082</v>
      </c>
      <c r="AQ452" t="str">
        <f t="shared" si="150"/>
        <v>Structural steel_46082</v>
      </c>
    </row>
    <row r="453" spans="30:43" ht="15.6" thickTop="1" thickBot="1">
      <c r="AE453" s="59" t="str">
        <f t="shared" si="151"/>
        <v>Machinery &amp; Equipment</v>
      </c>
      <c r="AF453" s="58" t="s">
        <v>28</v>
      </c>
      <c r="AG453" s="60">
        <f t="shared" si="152"/>
        <v>46082</v>
      </c>
      <c r="AH453" s="79">
        <f ca="1">IFERROR(INDEX('Core Inputs Interface'!$1:$1048576,MATCH($AE453,'Core Inputs Interface'!$H:$H,0),MATCH($AG453,'Core Inputs Interface'!$17:$17,0)),"")</f>
        <v>0</v>
      </c>
      <c r="AI453" s="55">
        <f t="shared" si="136"/>
        <v>0</v>
      </c>
      <c r="AJ453" s="55">
        <f t="shared" si="132"/>
        <v>9.1004090556242881E-2</v>
      </c>
      <c r="AK453" s="55">
        <f t="shared" si="133"/>
        <v>0.6</v>
      </c>
      <c r="AL453" s="55">
        <f t="shared" ca="1" si="137"/>
        <v>0.25</v>
      </c>
      <c r="AM453" s="65">
        <f t="shared" ca="1" si="134"/>
        <v>0</v>
      </c>
      <c r="AN453" s="66">
        <f t="shared" ca="1" si="135"/>
        <v>0</v>
      </c>
      <c r="AO453" s="56">
        <f t="shared" ca="1" si="148"/>
        <v>0</v>
      </c>
      <c r="AP453" t="str">
        <f t="shared" si="149"/>
        <v>Machinery &amp; Equipment_46082</v>
      </c>
      <c r="AQ453" t="str">
        <f t="shared" si="150"/>
        <v>Quarry Material_46082</v>
      </c>
    </row>
    <row r="454" spans="30:43" ht="15.6" thickTop="1" thickBot="1">
      <c r="AE454" s="59" t="str">
        <f t="shared" si="151"/>
        <v>Machinery &amp; Equipment</v>
      </c>
      <c r="AF454" s="58" t="s">
        <v>30</v>
      </c>
      <c r="AG454" s="60">
        <f t="shared" si="152"/>
        <v>46082</v>
      </c>
      <c r="AH454" s="79">
        <f ca="1">IFERROR(INDEX('Core Inputs Interface'!$1:$1048576,MATCH($AE454,'Core Inputs Interface'!$H:$H,0),MATCH($AG454,'Core Inputs Interface'!$17:$17,0)),"")</f>
        <v>0</v>
      </c>
      <c r="AI454" s="55">
        <f t="shared" si="136"/>
        <v>0</v>
      </c>
      <c r="AJ454" s="55">
        <f t="shared" si="132"/>
        <v>1.1472584695084088E-2</v>
      </c>
      <c r="AK454" s="55">
        <f t="shared" si="133"/>
        <v>0.6</v>
      </c>
      <c r="AL454" s="55">
        <f t="shared" ca="1" si="137"/>
        <v>0.25</v>
      </c>
      <c r="AM454" s="65">
        <f t="shared" ca="1" si="134"/>
        <v>0</v>
      </c>
      <c r="AN454" s="66">
        <f t="shared" ca="1" si="135"/>
        <v>0</v>
      </c>
      <c r="AO454" s="56">
        <f t="shared" ca="1" si="148"/>
        <v>0</v>
      </c>
      <c r="AP454" t="str">
        <f t="shared" si="149"/>
        <v>Machinery &amp; Equipment_46082</v>
      </c>
      <c r="AQ454" t="str">
        <f t="shared" si="150"/>
        <v>Concrete_46082</v>
      </c>
    </row>
    <row r="455" spans="30:43" ht="15.6" thickTop="1" thickBot="1">
      <c r="AE455" s="59" t="str">
        <f t="shared" si="151"/>
        <v>Machinery &amp; Equipment</v>
      </c>
      <c r="AF455" s="57" t="s">
        <v>32</v>
      </c>
      <c r="AG455" s="60">
        <f t="shared" si="152"/>
        <v>46082</v>
      </c>
      <c r="AH455" s="79">
        <f ca="1">IFERROR(INDEX('Core Inputs Interface'!$1:$1048576,MATCH($AE455,'Core Inputs Interface'!$H:$H,0),MATCH($AG455,'Core Inputs Interface'!$17:$17,0)),"")</f>
        <v>0</v>
      </c>
      <c r="AI455" s="55">
        <f t="shared" si="136"/>
        <v>0</v>
      </c>
      <c r="AJ455" s="55">
        <f t="shared" si="132"/>
        <v>9.8410961434768088E-2</v>
      </c>
      <c r="AK455" s="55">
        <f t="shared" si="133"/>
        <v>0.6</v>
      </c>
      <c r="AL455" s="55">
        <f t="shared" ca="1" si="137"/>
        <v>0.25</v>
      </c>
      <c r="AM455" s="65">
        <f t="shared" ca="1" si="134"/>
        <v>0</v>
      </c>
      <c r="AN455" s="66">
        <f t="shared" ca="1" si="135"/>
        <v>0</v>
      </c>
      <c r="AO455" s="56">
        <f t="shared" ca="1" si="148"/>
        <v>0</v>
      </c>
      <c r="AP455" t="str">
        <f t="shared" si="149"/>
        <v>Machinery &amp; Equipment_46082</v>
      </c>
      <c r="AQ455" t="str">
        <f t="shared" si="150"/>
        <v>Masonry_46082</v>
      </c>
    </row>
    <row r="456" spans="30:43" ht="15.6" thickTop="1" thickBot="1">
      <c r="AE456" s="59" t="str">
        <f t="shared" si="151"/>
        <v>Machinery &amp; Equipment</v>
      </c>
      <c r="AF456" s="57" t="s">
        <v>34</v>
      </c>
      <c r="AG456" s="60">
        <f t="shared" si="152"/>
        <v>46082</v>
      </c>
      <c r="AH456" s="79">
        <f ca="1">IFERROR(INDEX('Core Inputs Interface'!$1:$1048576,MATCH($AE456,'Core Inputs Interface'!$H:$H,0),MATCH($AG456,'Core Inputs Interface'!$17:$17,0)),"")</f>
        <v>0</v>
      </c>
      <c r="AI456" s="55">
        <f t="shared" si="136"/>
        <v>0</v>
      </c>
      <c r="AJ456" s="55">
        <f t="shared" si="132"/>
        <v>0.13840817436677436</v>
      </c>
      <c r="AK456" s="55">
        <f t="shared" si="133"/>
        <v>0.6</v>
      </c>
      <c r="AL456" s="55">
        <f t="shared" ca="1" si="137"/>
        <v>0.25</v>
      </c>
      <c r="AM456" s="65">
        <f t="shared" ca="1" si="134"/>
        <v>0</v>
      </c>
      <c r="AN456" s="66">
        <f t="shared" ca="1" si="135"/>
        <v>0</v>
      </c>
      <c r="AO456" s="56">
        <f t="shared" ca="1" si="148"/>
        <v>0</v>
      </c>
      <c r="AP456" t="str">
        <f t="shared" si="149"/>
        <v>Machinery &amp; Equipment_46082</v>
      </c>
      <c r="AQ456" t="str">
        <f t="shared" si="150"/>
        <v>Wood_46082</v>
      </c>
    </row>
    <row r="457" spans="30:43" ht="15.6" thickTop="1" thickBot="1">
      <c r="AE457" s="59" t="str">
        <f t="shared" si="151"/>
        <v>Machinery &amp; Equipment</v>
      </c>
      <c r="AF457" s="57" t="s">
        <v>36</v>
      </c>
      <c r="AG457" s="60">
        <f t="shared" si="152"/>
        <v>46082</v>
      </c>
      <c r="AH457" s="79">
        <f ca="1">IFERROR(INDEX('Core Inputs Interface'!$1:$1048576,MATCH($AE457,'Core Inputs Interface'!$H:$H,0),MATCH($AG457,'Core Inputs Interface'!$17:$17,0)),"")</f>
        <v>0</v>
      </c>
      <c r="AI457" s="55">
        <f t="shared" si="136"/>
        <v>0</v>
      </c>
      <c r="AJ457" s="55">
        <f t="shared" ref="AJ457:AJ520" si="153">IFERROR(INDEX($U:$U,MATCH($AF457,$T:$T,0)),0)</f>
        <v>0.80654510583379313</v>
      </c>
      <c r="AK457" s="55">
        <f t="shared" ref="AK457:AK520" si="154">IFERROR(INDEX($Y:$Y,MATCH($AF457,$X:$X,0)),0)</f>
        <v>0.6</v>
      </c>
      <c r="AL457" s="55">
        <f t="shared" ca="1" si="137"/>
        <v>0.25</v>
      </c>
      <c r="AM457" s="65">
        <f t="shared" ref="AM457:AM520" ca="1" si="155">IF(AL457="N/A",0,PRODUCT(AH457:AL457))</f>
        <v>0</v>
      </c>
      <c r="AN457" s="66">
        <f t="shared" ref="AN457:AN520" ca="1" si="156">PRODUCT(AH457:AI457)</f>
        <v>0</v>
      </c>
      <c r="AO457" s="56">
        <f t="shared" ca="1" si="148"/>
        <v>0</v>
      </c>
      <c r="AP457" t="str">
        <f t="shared" si="149"/>
        <v>Machinery &amp; Equipment_46082</v>
      </c>
      <c r="AQ457" t="str">
        <f t="shared" si="150"/>
        <v>Electrical wire_46082</v>
      </c>
    </row>
    <row r="458" spans="30:43" ht="15.6" thickTop="1" thickBot="1">
      <c r="AE458" s="59" t="str">
        <f t="shared" si="151"/>
        <v>Machinery &amp; Equipment</v>
      </c>
      <c r="AF458" s="57" t="s">
        <v>38</v>
      </c>
      <c r="AG458" s="60">
        <f t="shared" si="152"/>
        <v>46082</v>
      </c>
      <c r="AH458" s="79">
        <f ca="1">IFERROR(INDEX('Core Inputs Interface'!$1:$1048576,MATCH($AE458,'Core Inputs Interface'!$H:$H,0),MATCH($AG458,'Core Inputs Interface'!$17:$17,0)),"")</f>
        <v>0</v>
      </c>
      <c r="AI458" s="55">
        <f t="shared" ref="AI458:AI521" si="157">IFERROR(INDEX($F$9:$Q$30,MATCH($AF458,$E$9:$E$30,0),MATCH($AE458,$F$8:$Q$8,0)),0)</f>
        <v>0</v>
      </c>
      <c r="AJ458" s="55">
        <f t="shared" si="153"/>
        <v>0.24210307145623419</v>
      </c>
      <c r="AK458" s="55">
        <f t="shared" si="154"/>
        <v>0.6</v>
      </c>
      <c r="AL458" s="55">
        <f t="shared" ref="AL458:AL521" ca="1" si="158">IFERROR(INDEX($Z$10:$AA$31,MATCH($AF458,$X$10:$X$31,0),MATCH($AG458,$Z$9:$AA$9,0)),0)</f>
        <v>0.25</v>
      </c>
      <c r="AM458" s="65">
        <f t="shared" ca="1" si="155"/>
        <v>0</v>
      </c>
      <c r="AN458" s="66">
        <f t="shared" ca="1" si="156"/>
        <v>0</v>
      </c>
      <c r="AO458" s="56">
        <f t="shared" ca="1" si="148"/>
        <v>0</v>
      </c>
      <c r="AP458" t="str">
        <f t="shared" si="149"/>
        <v>Machinery &amp; Equipment_46082</v>
      </c>
      <c r="AQ458" t="str">
        <f t="shared" si="150"/>
        <v>Glass_46082</v>
      </c>
    </row>
    <row r="459" spans="30:43" ht="15.6" thickTop="1" thickBot="1">
      <c r="AE459" s="59" t="str">
        <f t="shared" si="151"/>
        <v>Machinery &amp; Equipment</v>
      </c>
      <c r="AF459" s="57" t="s">
        <v>40</v>
      </c>
      <c r="AG459" s="60">
        <f t="shared" si="152"/>
        <v>46082</v>
      </c>
      <c r="AH459" s="79">
        <f ca="1">IFERROR(INDEX('Core Inputs Interface'!$1:$1048576,MATCH($AE459,'Core Inputs Interface'!$H:$H,0),MATCH($AG459,'Core Inputs Interface'!$17:$17,0)),"")</f>
        <v>0</v>
      </c>
      <c r="AI459" s="55">
        <f t="shared" si="157"/>
        <v>0</v>
      </c>
      <c r="AJ459" s="55">
        <f t="shared" si="153"/>
        <v>2.4772729573316262E-4</v>
      </c>
      <c r="AK459" s="55">
        <f t="shared" si="154"/>
        <v>0.6</v>
      </c>
      <c r="AL459" s="55">
        <f t="shared" ca="1" si="158"/>
        <v>0.25</v>
      </c>
      <c r="AM459" s="65">
        <f t="shared" ca="1" si="155"/>
        <v>0</v>
      </c>
      <c r="AN459" s="66">
        <f t="shared" ca="1" si="156"/>
        <v>0</v>
      </c>
      <c r="AO459" s="56">
        <f t="shared" ca="1" si="148"/>
        <v>0</v>
      </c>
      <c r="AP459" t="str">
        <f t="shared" si="149"/>
        <v>Machinery &amp; Equipment_46082</v>
      </c>
      <c r="AQ459" t="str">
        <f t="shared" si="150"/>
        <v>Roofing_46082</v>
      </c>
    </row>
    <row r="460" spans="30:43" ht="15.6" thickTop="1" thickBot="1">
      <c r="AE460" s="59" t="str">
        <f t="shared" si="151"/>
        <v>Machinery &amp; Equipment</v>
      </c>
      <c r="AF460" s="57" t="s">
        <v>42</v>
      </c>
      <c r="AG460" s="60">
        <f t="shared" si="152"/>
        <v>46082</v>
      </c>
      <c r="AH460" s="79">
        <f ca="1">IFERROR(INDEX('Core Inputs Interface'!$1:$1048576,MATCH($AE460,'Core Inputs Interface'!$H:$H,0),MATCH($AG460,'Core Inputs Interface'!$17:$17,0)),"")</f>
        <v>0</v>
      </c>
      <c r="AI460" s="55">
        <f t="shared" si="157"/>
        <v>0</v>
      </c>
      <c r="AJ460" s="55">
        <f t="shared" si="153"/>
        <v>0.54050345117059384</v>
      </c>
      <c r="AK460" s="55">
        <f t="shared" si="154"/>
        <v>0.6</v>
      </c>
      <c r="AL460" s="55">
        <f t="shared" ca="1" si="158"/>
        <v>0.25</v>
      </c>
      <c r="AM460" s="65">
        <f t="shared" ca="1" si="155"/>
        <v>0</v>
      </c>
      <c r="AN460" s="66">
        <f t="shared" ca="1" si="156"/>
        <v>0</v>
      </c>
      <c r="AO460" s="56">
        <f t="shared" ca="1" si="148"/>
        <v>0</v>
      </c>
      <c r="AP460" t="str">
        <f t="shared" si="149"/>
        <v>Machinery &amp; Equipment_46082</v>
      </c>
      <c r="AQ460" t="str">
        <f t="shared" si="150"/>
        <v>Interior_46082</v>
      </c>
    </row>
    <row r="461" spans="30:43" ht="15.6" thickTop="1" thickBot="1">
      <c r="AE461" s="59" t="str">
        <f t="shared" si="151"/>
        <v>Machinery &amp; Equipment</v>
      </c>
      <c r="AF461" s="57" t="s">
        <v>44</v>
      </c>
      <c r="AG461" s="60">
        <f t="shared" si="152"/>
        <v>46082</v>
      </c>
      <c r="AH461" s="79">
        <f ca="1">IFERROR(INDEX('Core Inputs Interface'!$1:$1048576,MATCH($AE461,'Core Inputs Interface'!$H:$H,0),MATCH($AG461,'Core Inputs Interface'!$17:$17,0)),"")</f>
        <v>0</v>
      </c>
      <c r="AI461" s="55">
        <f t="shared" si="157"/>
        <v>0</v>
      </c>
      <c r="AJ461" s="55">
        <f t="shared" si="153"/>
        <v>0.14985905317691026</v>
      </c>
      <c r="AK461" s="55">
        <f t="shared" si="154"/>
        <v>0.6</v>
      </c>
      <c r="AL461" s="55">
        <f t="shared" ca="1" si="158"/>
        <v>0.25</v>
      </c>
      <c r="AM461" s="65">
        <f t="shared" ca="1" si="155"/>
        <v>0</v>
      </c>
      <c r="AN461" s="66">
        <f t="shared" ca="1" si="156"/>
        <v>0</v>
      </c>
      <c r="AO461" s="56">
        <f t="shared" ca="1" si="148"/>
        <v>0</v>
      </c>
      <c r="AP461" t="str">
        <f t="shared" si="149"/>
        <v>Machinery &amp; Equipment_46082</v>
      </c>
      <c r="AQ461" t="str">
        <f t="shared" si="150"/>
        <v>Bitumen_46082</v>
      </c>
    </row>
    <row r="462" spans="30:43" ht="15.6" thickTop="1" thickBot="1">
      <c r="AE462" s="59" t="str">
        <f t="shared" si="151"/>
        <v>Machinery &amp; Equipment</v>
      </c>
      <c r="AF462" s="57" t="s">
        <v>46</v>
      </c>
      <c r="AG462" s="60">
        <f t="shared" si="152"/>
        <v>46082</v>
      </c>
      <c r="AH462" s="79">
        <f ca="1">IFERROR(INDEX('Core Inputs Interface'!$1:$1048576,MATCH($AE462,'Core Inputs Interface'!$H:$H,0),MATCH($AG462,'Core Inputs Interface'!$17:$17,0)),"")</f>
        <v>0</v>
      </c>
      <c r="AI462" s="55">
        <f t="shared" si="157"/>
        <v>0</v>
      </c>
      <c r="AJ462" s="55">
        <f t="shared" si="153"/>
        <v>0.12828361767948987</v>
      </c>
      <c r="AK462" s="55">
        <f t="shared" si="154"/>
        <v>0.6</v>
      </c>
      <c r="AL462" s="55">
        <f t="shared" ca="1" si="158"/>
        <v>0.25</v>
      </c>
      <c r="AM462" s="65">
        <f t="shared" ca="1" si="155"/>
        <v>0</v>
      </c>
      <c r="AN462" s="66">
        <f t="shared" ca="1" si="156"/>
        <v>0</v>
      </c>
      <c r="AO462" s="56">
        <f t="shared" ca="1" si="148"/>
        <v>0</v>
      </c>
      <c r="AP462" t="str">
        <f t="shared" si="149"/>
        <v>Machinery &amp; Equipment_46082</v>
      </c>
      <c r="AQ462" t="str">
        <f t="shared" si="150"/>
        <v>Polyethylene pipes_46082</v>
      </c>
    </row>
    <row r="463" spans="30:43" ht="15.6" thickTop="1" thickBot="1">
      <c r="AE463" s="59" t="str">
        <f t="shared" si="151"/>
        <v>Machinery &amp; Equipment</v>
      </c>
      <c r="AF463" s="57" t="s">
        <v>48</v>
      </c>
      <c r="AG463" s="60">
        <f t="shared" si="152"/>
        <v>46082</v>
      </c>
      <c r="AH463" s="79">
        <f ca="1">IFERROR(INDEX('Core Inputs Interface'!$1:$1048576,MATCH($AE463,'Core Inputs Interface'!$H:$H,0),MATCH($AG463,'Core Inputs Interface'!$17:$17,0)),"")</f>
        <v>0</v>
      </c>
      <c r="AI463" s="55">
        <f t="shared" si="157"/>
        <v>0</v>
      </c>
      <c r="AJ463" s="55">
        <f t="shared" si="153"/>
        <v>0.31546495432215926</v>
      </c>
      <c r="AK463" s="55">
        <f t="shared" si="154"/>
        <v>0.8</v>
      </c>
      <c r="AL463" s="55">
        <f t="shared" ca="1" si="158"/>
        <v>0.25</v>
      </c>
      <c r="AM463" s="65">
        <f t="shared" ca="1" si="155"/>
        <v>0</v>
      </c>
      <c r="AN463" s="66">
        <f t="shared" ca="1" si="156"/>
        <v>0</v>
      </c>
      <c r="AO463" s="56">
        <f t="shared" ca="1" si="148"/>
        <v>0</v>
      </c>
      <c r="AP463" t="str">
        <f t="shared" si="149"/>
        <v>Machinery &amp; Equipment_46082</v>
      </c>
      <c r="AQ463" t="str">
        <f t="shared" si="150"/>
        <v>Plant and equipment_46082</v>
      </c>
    </row>
    <row r="464" spans="30:43" ht="15.6" thickTop="1" thickBot="1">
      <c r="AE464" s="59" t="str">
        <f t="shared" si="151"/>
        <v>Machinery &amp; Equipment</v>
      </c>
      <c r="AF464" s="57" t="s">
        <v>50</v>
      </c>
      <c r="AG464" s="60">
        <f t="shared" si="152"/>
        <v>46082</v>
      </c>
      <c r="AH464" s="79">
        <f ca="1">IFERROR(INDEX('Core Inputs Interface'!$1:$1048576,MATCH($AE464,'Core Inputs Interface'!$H:$H,0),MATCH($AG464,'Core Inputs Interface'!$17:$17,0)),"")</f>
        <v>0</v>
      </c>
      <c r="AI464" s="55">
        <f t="shared" si="157"/>
        <v>0</v>
      </c>
      <c r="AJ464" s="55">
        <f t="shared" si="153"/>
        <v>0.48556692694591386</v>
      </c>
      <c r="AK464" s="55">
        <f t="shared" si="154"/>
        <v>0.8</v>
      </c>
      <c r="AL464" s="55">
        <f t="shared" ca="1" si="158"/>
        <v>0.25</v>
      </c>
      <c r="AM464" s="65">
        <f t="shared" ca="1" si="155"/>
        <v>0</v>
      </c>
      <c r="AN464" s="66">
        <f t="shared" ca="1" si="156"/>
        <v>0</v>
      </c>
      <c r="AO464" s="56">
        <f t="shared" ca="1" si="148"/>
        <v>0</v>
      </c>
      <c r="AP464" t="str">
        <f t="shared" si="149"/>
        <v>Machinery &amp; Equipment_46082</v>
      </c>
      <c r="AQ464" t="str">
        <f t="shared" si="150"/>
        <v>Electrical equipment_46082</v>
      </c>
    </row>
    <row r="465" spans="31:43" ht="15.6" thickTop="1" thickBot="1">
      <c r="AE465" s="59" t="str">
        <f t="shared" si="151"/>
        <v>Machinery &amp; Equipment</v>
      </c>
      <c r="AF465" s="57" t="s">
        <v>52</v>
      </c>
      <c r="AG465" s="60">
        <f t="shared" si="152"/>
        <v>46082</v>
      </c>
      <c r="AH465" s="79">
        <f ca="1">IFERROR(INDEX('Core Inputs Interface'!$1:$1048576,MATCH($AE465,'Core Inputs Interface'!$H:$H,0),MATCH($AG465,'Core Inputs Interface'!$17:$17,0)),"")</f>
        <v>0</v>
      </c>
      <c r="AI465" s="55">
        <f t="shared" si="157"/>
        <v>0</v>
      </c>
      <c r="AJ465" s="55">
        <f t="shared" si="153"/>
        <v>0.23440288076987165</v>
      </c>
      <c r="AK465" s="55">
        <f t="shared" si="154"/>
        <v>0.8</v>
      </c>
      <c r="AL465" s="55">
        <f t="shared" ca="1" si="158"/>
        <v>0.25</v>
      </c>
      <c r="AM465" s="65">
        <f t="shared" ca="1" si="155"/>
        <v>0</v>
      </c>
      <c r="AN465" s="66">
        <f t="shared" ca="1" si="156"/>
        <v>0</v>
      </c>
      <c r="AO465" s="56">
        <f t="shared" ca="1" si="148"/>
        <v>0</v>
      </c>
      <c r="AP465" t="str">
        <f t="shared" si="149"/>
        <v>Machinery &amp; Equipment_46082</v>
      </c>
      <c r="AQ465" t="str">
        <f t="shared" si="150"/>
        <v>Road equipment_46082</v>
      </c>
    </row>
    <row r="466" spans="31:43" ht="15.6" thickTop="1" thickBot="1">
      <c r="AE466" s="59" t="str">
        <f t="shared" si="151"/>
        <v>Machinery &amp; Equipment</v>
      </c>
      <c r="AF466" s="57" t="s">
        <v>54</v>
      </c>
      <c r="AG466" s="60">
        <f t="shared" si="152"/>
        <v>46082</v>
      </c>
      <c r="AH466" s="79">
        <f ca="1">IFERROR(INDEX('Core Inputs Interface'!$1:$1048576,MATCH($AE466,'Core Inputs Interface'!$H:$H,0),MATCH($AG466,'Core Inputs Interface'!$17:$17,0)),"")</f>
        <v>0</v>
      </c>
      <c r="AI466" s="55">
        <f t="shared" si="157"/>
        <v>0</v>
      </c>
      <c r="AJ466" s="55">
        <f t="shared" si="153"/>
        <v>0.53411483886586031</v>
      </c>
      <c r="AK466" s="55">
        <f t="shared" si="154"/>
        <v>0.8</v>
      </c>
      <c r="AL466" s="55">
        <f t="shared" ca="1" si="158"/>
        <v>0.25</v>
      </c>
      <c r="AM466" s="65">
        <f t="shared" ca="1" si="155"/>
        <v>0</v>
      </c>
      <c r="AN466" s="66">
        <f t="shared" ca="1" si="156"/>
        <v>0</v>
      </c>
      <c r="AO466" s="56">
        <f t="shared" ca="1" si="148"/>
        <v>0</v>
      </c>
      <c r="AP466" t="str">
        <f t="shared" si="149"/>
        <v>Machinery &amp; Equipment_46082</v>
      </c>
      <c r="AQ466" t="str">
        <f t="shared" si="150"/>
        <v>Water equipment_46082</v>
      </c>
    </row>
    <row r="467" spans="31:43" ht="15.6" thickTop="1" thickBot="1">
      <c r="AE467" s="59" t="str">
        <f t="shared" si="151"/>
        <v>Machinery &amp; Equipment</v>
      </c>
      <c r="AF467" s="57" t="s">
        <v>56</v>
      </c>
      <c r="AG467" s="60">
        <f t="shared" si="152"/>
        <v>46082</v>
      </c>
      <c r="AH467" s="79">
        <f ca="1">IFERROR(INDEX('Core Inputs Interface'!$1:$1048576,MATCH($AE467,'Core Inputs Interface'!$H:$H,0),MATCH($AG467,'Core Inputs Interface'!$17:$17,0)),"")</f>
        <v>0</v>
      </c>
      <c r="AI467" s="55">
        <f t="shared" si="157"/>
        <v>0</v>
      </c>
      <c r="AJ467" s="55">
        <f t="shared" si="153"/>
        <v>0.45356302165418505</v>
      </c>
      <c r="AK467" s="55">
        <f t="shared" si="154"/>
        <v>0.6</v>
      </c>
      <c r="AL467" s="55">
        <f t="shared" ca="1" si="158"/>
        <v>0.1</v>
      </c>
      <c r="AM467" s="65">
        <f t="shared" ca="1" si="155"/>
        <v>0</v>
      </c>
      <c r="AN467" s="66">
        <f t="shared" ca="1" si="156"/>
        <v>0</v>
      </c>
      <c r="AO467" s="56">
        <f t="shared" ca="1" si="148"/>
        <v>0</v>
      </c>
      <c r="AP467" t="str">
        <f t="shared" si="149"/>
        <v>Machinery &amp; Equipment_46082</v>
      </c>
      <c r="AQ467" t="str">
        <f t="shared" si="150"/>
        <v>Diesel_46082</v>
      </c>
    </row>
    <row r="468" spans="31:43" ht="15.6" thickTop="1" thickBot="1">
      <c r="AE468" s="59" t="str">
        <f t="shared" si="151"/>
        <v>Machinery &amp; Equipment</v>
      </c>
      <c r="AF468" s="57" t="s">
        <v>49</v>
      </c>
      <c r="AG468" s="60">
        <f t="shared" si="152"/>
        <v>46082</v>
      </c>
      <c r="AH468" s="79">
        <f ca="1">IFERROR(INDEX('Core Inputs Interface'!$1:$1048576,MATCH($AE468,'Core Inputs Interface'!$H:$H,0),MATCH($AG468,'Core Inputs Interface'!$17:$17,0)),"")</f>
        <v>0</v>
      </c>
      <c r="AI468" s="55">
        <f t="shared" si="157"/>
        <v>0</v>
      </c>
      <c r="AJ468" s="55">
        <f t="shared" si="153"/>
        <v>0.52451068102476561</v>
      </c>
      <c r="AK468" s="55">
        <f t="shared" si="154"/>
        <v>0.8</v>
      </c>
      <c r="AL468" s="55">
        <f t="shared" ca="1" si="158"/>
        <v>0.25</v>
      </c>
      <c r="AM468" s="65">
        <f t="shared" ca="1" si="155"/>
        <v>0</v>
      </c>
      <c r="AN468" s="66">
        <f t="shared" ca="1" si="156"/>
        <v>0</v>
      </c>
      <c r="AO468" s="56">
        <f t="shared" ca="1" si="148"/>
        <v>0</v>
      </c>
      <c r="AP468" t="str">
        <f t="shared" si="149"/>
        <v>Machinery &amp; Equipment_46082</v>
      </c>
      <c r="AQ468" t="str">
        <f t="shared" si="150"/>
        <v>Vehicles_46082</v>
      </c>
    </row>
    <row r="469" spans="31:43" ht="15.6" thickTop="1" thickBot="1">
      <c r="AE469" s="59" t="str">
        <f>AE468</f>
        <v>Machinery &amp; Equipment</v>
      </c>
      <c r="AF469" s="57" t="s">
        <v>51</v>
      </c>
      <c r="AG469" s="60">
        <f>AG468</f>
        <v>46082</v>
      </c>
      <c r="AH469" s="79">
        <f ca="1">IFERROR(INDEX('Core Inputs Interface'!$1:$1048576,MATCH($AE469,'Core Inputs Interface'!$H:$H,0),MATCH($AG469,'Core Inputs Interface'!$17:$17,0)),"")</f>
        <v>0</v>
      </c>
      <c r="AI469" s="55">
        <f t="shared" si="157"/>
        <v>1</v>
      </c>
      <c r="AJ469" s="55">
        <f t="shared" si="153"/>
        <v>0.39238740022595126</v>
      </c>
      <c r="AK469" s="55">
        <f t="shared" si="154"/>
        <v>0.8</v>
      </c>
      <c r="AL469" s="55">
        <f t="shared" ca="1" si="158"/>
        <v>0.25</v>
      </c>
      <c r="AM469" s="65">
        <f t="shared" ca="1" si="155"/>
        <v>0</v>
      </c>
      <c r="AN469" s="66">
        <f t="shared" ca="1" si="156"/>
        <v>0</v>
      </c>
      <c r="AO469" s="56">
        <f ca="1">IFERROR(AM469/AN469,0)</f>
        <v>0</v>
      </c>
      <c r="AP469" t="str">
        <f>_xlfn.TEXTJOIN("_",,$AE469,$AG469)</f>
        <v>Machinery &amp; Equipment_46082</v>
      </c>
      <c r="AQ469" t="str">
        <f>_xlfn.TEXTJOIN("_",,$AF469,$AG469)</f>
        <v>Machinery &amp; Equipment_46082</v>
      </c>
    </row>
    <row r="470" spans="31:43" ht="15.6" thickTop="1" thickBot="1">
      <c r="AE470" s="59" t="str">
        <f>AE469</f>
        <v>Machinery &amp; Equipment</v>
      </c>
      <c r="AF470" s="57" t="s">
        <v>53</v>
      </c>
      <c r="AG470" s="60">
        <f>AG469</f>
        <v>46082</v>
      </c>
      <c r="AH470" s="79">
        <f ca="1">IFERROR(INDEX('Core Inputs Interface'!$1:$1048576,MATCH($AE470,'Core Inputs Interface'!$H:$H,0),MATCH($AG470,'Core Inputs Interface'!$17:$17,0)),"")</f>
        <v>0</v>
      </c>
      <c r="AI470" s="55">
        <f t="shared" si="157"/>
        <v>0</v>
      </c>
      <c r="AJ470" s="55">
        <f t="shared" si="153"/>
        <v>0.15</v>
      </c>
      <c r="AK470" s="55">
        <f t="shared" si="154"/>
        <v>0.8</v>
      </c>
      <c r="AL470" s="55">
        <f t="shared" ca="1" si="158"/>
        <v>0.25</v>
      </c>
      <c r="AM470" s="65">
        <f t="shared" ca="1" si="155"/>
        <v>0</v>
      </c>
      <c r="AN470" s="66">
        <f t="shared" ca="1" si="156"/>
        <v>0</v>
      </c>
      <c r="AO470" s="56">
        <f ca="1">IFERROR(AM470/AN470,0)</f>
        <v>0</v>
      </c>
      <c r="AP470" t="str">
        <f>_xlfn.TEXTJOIN("_",,$AE470,$AG470)</f>
        <v>Machinery &amp; Equipment_46082</v>
      </c>
      <c r="AQ470" t="str">
        <f>_xlfn.TEXTJOIN("_",,$AF470,$AG470)</f>
        <v>Office Equipment &amp; IT_46082</v>
      </c>
    </row>
    <row r="471" spans="31:43" ht="15.6" thickTop="1" thickBot="1">
      <c r="AE471" s="59" t="str">
        <f>AE468</f>
        <v>Machinery &amp; Equipment</v>
      </c>
      <c r="AF471" s="59" t="str">
        <f t="shared" ref="AF471:AF490" si="159">AF449</f>
        <v>Labour</v>
      </c>
      <c r="AG471" s="61">
        <f>EDATE(AG449,12)</f>
        <v>46447</v>
      </c>
      <c r="AH471" s="79">
        <f ca="1">IFERROR(INDEX('Core Inputs Interface'!$1:$1048576,MATCH($AE471,'Core Inputs Interface'!$H:$H,0),MATCH($AG471,'Core Inputs Interface'!$17:$17,0)),"")</f>
        <v>0</v>
      </c>
      <c r="AI471" s="55">
        <f t="shared" si="157"/>
        <v>0</v>
      </c>
      <c r="AJ471" s="55" t="str">
        <f t="shared" si="153"/>
        <v>N/A</v>
      </c>
      <c r="AK471" s="55" t="str">
        <f t="shared" si="154"/>
        <v>N/A</v>
      </c>
      <c r="AL471" s="55" t="str">
        <f t="shared" ca="1" si="158"/>
        <v>N/A</v>
      </c>
      <c r="AM471" s="65">
        <f t="shared" ca="1" si="155"/>
        <v>0</v>
      </c>
      <c r="AN471" s="66">
        <f t="shared" ca="1" si="156"/>
        <v>0</v>
      </c>
      <c r="AO471" s="56">
        <f t="shared" ref="AO471:AO490" ca="1" si="160">IFERROR(AM471/AN471,0)</f>
        <v>0</v>
      </c>
      <c r="AP471" t="str">
        <f t="shared" si="149"/>
        <v>Machinery &amp; Equipment_46447</v>
      </c>
      <c r="AQ471" t="str">
        <f t="shared" si="150"/>
        <v>Labour_46447</v>
      </c>
    </row>
    <row r="472" spans="31:43" ht="15.6" thickTop="1" thickBot="1">
      <c r="AE472" s="59" t="str">
        <f t="shared" si="151"/>
        <v>Machinery &amp; Equipment</v>
      </c>
      <c r="AF472" s="59" t="str">
        <f t="shared" si="159"/>
        <v>Engineering design</v>
      </c>
      <c r="AG472" s="60">
        <f>AG471</f>
        <v>46447</v>
      </c>
      <c r="AH472" s="79">
        <f ca="1">IFERROR(INDEX('Core Inputs Interface'!$1:$1048576,MATCH($AE472,'Core Inputs Interface'!$H:$H,0),MATCH($AG472,'Core Inputs Interface'!$17:$17,0)),"")</f>
        <v>0</v>
      </c>
      <c r="AI472" s="55">
        <f t="shared" si="157"/>
        <v>0</v>
      </c>
      <c r="AJ472" s="55" t="str">
        <f t="shared" si="153"/>
        <v>N/A</v>
      </c>
      <c r="AK472" s="55" t="str">
        <f t="shared" si="154"/>
        <v>N/A</v>
      </c>
      <c r="AL472" s="55" t="str">
        <f t="shared" ca="1" si="158"/>
        <v>N/A</v>
      </c>
      <c r="AM472" s="65">
        <f t="shared" ca="1" si="155"/>
        <v>0</v>
      </c>
      <c r="AN472" s="66">
        <f t="shared" ca="1" si="156"/>
        <v>0</v>
      </c>
      <c r="AO472" s="56">
        <f t="shared" ca="1" si="160"/>
        <v>0</v>
      </c>
      <c r="AP472" t="str">
        <f t="shared" si="149"/>
        <v>Machinery &amp; Equipment_46447</v>
      </c>
      <c r="AQ472" t="str">
        <f t="shared" si="150"/>
        <v>Engineering design_46447</v>
      </c>
    </row>
    <row r="473" spans="31:43" ht="15.6" thickTop="1" thickBot="1">
      <c r="AE473" s="59" t="str">
        <f t="shared" si="151"/>
        <v>Machinery &amp; Equipment</v>
      </c>
      <c r="AF473" s="59" t="str">
        <f t="shared" si="159"/>
        <v>Reinforcing bar</v>
      </c>
      <c r="AG473" s="60">
        <f t="shared" ref="AG473:AG490" si="161">AG472</f>
        <v>46447</v>
      </c>
      <c r="AH473" s="79">
        <f ca="1">IFERROR(INDEX('Core Inputs Interface'!$1:$1048576,MATCH($AE473,'Core Inputs Interface'!$H:$H,0),MATCH($AG473,'Core Inputs Interface'!$17:$17,0)),"")</f>
        <v>0</v>
      </c>
      <c r="AI473" s="55">
        <f t="shared" si="157"/>
        <v>0</v>
      </c>
      <c r="AJ473" s="55">
        <f t="shared" si="153"/>
        <v>8.4066217963502693E-2</v>
      </c>
      <c r="AK473" s="55">
        <f t="shared" si="154"/>
        <v>0.6</v>
      </c>
      <c r="AL473" s="55">
        <f t="shared" ca="1" si="158"/>
        <v>0.25</v>
      </c>
      <c r="AM473" s="65">
        <f t="shared" ca="1" si="155"/>
        <v>0</v>
      </c>
      <c r="AN473" s="66">
        <f t="shared" ca="1" si="156"/>
        <v>0</v>
      </c>
      <c r="AO473" s="56">
        <f t="shared" ca="1" si="160"/>
        <v>0</v>
      </c>
      <c r="AP473" t="str">
        <f t="shared" si="149"/>
        <v>Machinery &amp; Equipment_46447</v>
      </c>
      <c r="AQ473" t="str">
        <f t="shared" si="150"/>
        <v>Reinforcing bar_46447</v>
      </c>
    </row>
    <row r="474" spans="31:43" ht="15.6" thickTop="1" thickBot="1">
      <c r="AE474" s="59" t="str">
        <f t="shared" si="151"/>
        <v>Machinery &amp; Equipment</v>
      </c>
      <c r="AF474" s="59" t="str">
        <f t="shared" si="159"/>
        <v>Structural steel</v>
      </c>
      <c r="AG474" s="60">
        <f t="shared" si="161"/>
        <v>46447</v>
      </c>
      <c r="AH474" s="79">
        <f ca="1">IFERROR(INDEX('Core Inputs Interface'!$1:$1048576,MATCH($AE474,'Core Inputs Interface'!$H:$H,0),MATCH($AG474,'Core Inputs Interface'!$17:$17,0)),"")</f>
        <v>0</v>
      </c>
      <c r="AI474" s="55">
        <f t="shared" si="157"/>
        <v>0</v>
      </c>
      <c r="AJ474" s="55">
        <f t="shared" si="153"/>
        <v>0.52500514810102583</v>
      </c>
      <c r="AK474" s="55">
        <f t="shared" si="154"/>
        <v>0.6</v>
      </c>
      <c r="AL474" s="55">
        <f t="shared" ca="1" si="158"/>
        <v>0.25</v>
      </c>
      <c r="AM474" s="65">
        <f t="shared" ca="1" si="155"/>
        <v>0</v>
      </c>
      <c r="AN474" s="66">
        <f t="shared" ca="1" si="156"/>
        <v>0</v>
      </c>
      <c r="AO474" s="56">
        <f t="shared" ca="1" si="160"/>
        <v>0</v>
      </c>
      <c r="AP474" t="str">
        <f t="shared" si="149"/>
        <v>Machinery &amp; Equipment_46447</v>
      </c>
      <c r="AQ474" t="str">
        <f t="shared" si="150"/>
        <v>Structural steel_46447</v>
      </c>
    </row>
    <row r="475" spans="31:43" ht="15.6" thickTop="1" thickBot="1">
      <c r="AE475" s="59" t="str">
        <f t="shared" si="151"/>
        <v>Machinery &amp; Equipment</v>
      </c>
      <c r="AF475" s="59" t="str">
        <f t="shared" si="159"/>
        <v>Quarry Material</v>
      </c>
      <c r="AG475" s="60">
        <f t="shared" si="161"/>
        <v>46447</v>
      </c>
      <c r="AH475" s="79">
        <f ca="1">IFERROR(INDEX('Core Inputs Interface'!$1:$1048576,MATCH($AE475,'Core Inputs Interface'!$H:$H,0),MATCH($AG475,'Core Inputs Interface'!$17:$17,0)),"")</f>
        <v>0</v>
      </c>
      <c r="AI475" s="55">
        <f t="shared" si="157"/>
        <v>0</v>
      </c>
      <c r="AJ475" s="55">
        <f t="shared" si="153"/>
        <v>9.1004090556242881E-2</v>
      </c>
      <c r="AK475" s="55">
        <f t="shared" si="154"/>
        <v>0.6</v>
      </c>
      <c r="AL475" s="55">
        <f t="shared" ca="1" si="158"/>
        <v>0.25</v>
      </c>
      <c r="AM475" s="65">
        <f t="shared" ca="1" si="155"/>
        <v>0</v>
      </c>
      <c r="AN475" s="66">
        <f t="shared" ca="1" si="156"/>
        <v>0</v>
      </c>
      <c r="AO475" s="56">
        <f t="shared" ca="1" si="160"/>
        <v>0</v>
      </c>
      <c r="AP475" t="str">
        <f t="shared" si="149"/>
        <v>Machinery &amp; Equipment_46447</v>
      </c>
      <c r="AQ475" t="str">
        <f t="shared" si="150"/>
        <v>Quarry Material_46447</v>
      </c>
    </row>
    <row r="476" spans="31:43" ht="15.6" thickTop="1" thickBot="1">
      <c r="AE476" s="59" t="str">
        <f t="shared" si="151"/>
        <v>Machinery &amp; Equipment</v>
      </c>
      <c r="AF476" s="59" t="str">
        <f t="shared" si="159"/>
        <v>Concrete</v>
      </c>
      <c r="AG476" s="60">
        <f t="shared" si="161"/>
        <v>46447</v>
      </c>
      <c r="AH476" s="79">
        <f ca="1">IFERROR(INDEX('Core Inputs Interface'!$1:$1048576,MATCH($AE476,'Core Inputs Interface'!$H:$H,0),MATCH($AG476,'Core Inputs Interface'!$17:$17,0)),"")</f>
        <v>0</v>
      </c>
      <c r="AI476" s="55">
        <f t="shared" si="157"/>
        <v>0</v>
      </c>
      <c r="AJ476" s="55">
        <f t="shared" si="153"/>
        <v>1.1472584695084088E-2</v>
      </c>
      <c r="AK476" s="55">
        <f t="shared" si="154"/>
        <v>0.6</v>
      </c>
      <c r="AL476" s="55">
        <f t="shared" ca="1" si="158"/>
        <v>0.25</v>
      </c>
      <c r="AM476" s="65">
        <f t="shared" ca="1" si="155"/>
        <v>0</v>
      </c>
      <c r="AN476" s="66">
        <f t="shared" ca="1" si="156"/>
        <v>0</v>
      </c>
      <c r="AO476" s="56">
        <f t="shared" ca="1" si="160"/>
        <v>0</v>
      </c>
      <c r="AP476" t="str">
        <f t="shared" si="149"/>
        <v>Machinery &amp; Equipment_46447</v>
      </c>
      <c r="AQ476" t="str">
        <f t="shared" si="150"/>
        <v>Concrete_46447</v>
      </c>
    </row>
    <row r="477" spans="31:43" ht="15.6" thickTop="1" thickBot="1">
      <c r="AE477" s="59" t="str">
        <f t="shared" si="151"/>
        <v>Machinery &amp; Equipment</v>
      </c>
      <c r="AF477" s="59" t="str">
        <f t="shared" si="159"/>
        <v>Masonry</v>
      </c>
      <c r="AG477" s="60">
        <f t="shared" si="161"/>
        <v>46447</v>
      </c>
      <c r="AH477" s="79">
        <f ca="1">IFERROR(INDEX('Core Inputs Interface'!$1:$1048576,MATCH($AE477,'Core Inputs Interface'!$H:$H,0),MATCH($AG477,'Core Inputs Interface'!$17:$17,0)),"")</f>
        <v>0</v>
      </c>
      <c r="AI477" s="55">
        <f t="shared" si="157"/>
        <v>0</v>
      </c>
      <c r="AJ477" s="55">
        <f t="shared" si="153"/>
        <v>9.8410961434768088E-2</v>
      </c>
      <c r="AK477" s="55">
        <f t="shared" si="154"/>
        <v>0.6</v>
      </c>
      <c r="AL477" s="55">
        <f t="shared" ca="1" si="158"/>
        <v>0.25</v>
      </c>
      <c r="AM477" s="65">
        <f t="shared" ca="1" si="155"/>
        <v>0</v>
      </c>
      <c r="AN477" s="66">
        <f t="shared" ca="1" si="156"/>
        <v>0</v>
      </c>
      <c r="AO477" s="56">
        <f t="shared" ca="1" si="160"/>
        <v>0</v>
      </c>
      <c r="AP477" t="str">
        <f t="shared" si="149"/>
        <v>Machinery &amp; Equipment_46447</v>
      </c>
      <c r="AQ477" t="str">
        <f t="shared" si="150"/>
        <v>Masonry_46447</v>
      </c>
    </row>
    <row r="478" spans="31:43" ht="15.6" thickTop="1" thickBot="1">
      <c r="AE478" s="59" t="str">
        <f t="shared" si="151"/>
        <v>Machinery &amp; Equipment</v>
      </c>
      <c r="AF478" s="59" t="str">
        <f t="shared" si="159"/>
        <v>Wood</v>
      </c>
      <c r="AG478" s="60">
        <f t="shared" si="161"/>
        <v>46447</v>
      </c>
      <c r="AH478" s="79">
        <f ca="1">IFERROR(INDEX('Core Inputs Interface'!$1:$1048576,MATCH($AE478,'Core Inputs Interface'!$H:$H,0),MATCH($AG478,'Core Inputs Interface'!$17:$17,0)),"")</f>
        <v>0</v>
      </c>
      <c r="AI478" s="55">
        <f t="shared" si="157"/>
        <v>0</v>
      </c>
      <c r="AJ478" s="55">
        <f t="shared" si="153"/>
        <v>0.13840817436677436</v>
      </c>
      <c r="AK478" s="55">
        <f t="shared" si="154"/>
        <v>0.6</v>
      </c>
      <c r="AL478" s="55">
        <f t="shared" ca="1" si="158"/>
        <v>0.25</v>
      </c>
      <c r="AM478" s="65">
        <f t="shared" ca="1" si="155"/>
        <v>0</v>
      </c>
      <c r="AN478" s="66">
        <f t="shared" ca="1" si="156"/>
        <v>0</v>
      </c>
      <c r="AO478" s="56">
        <f t="shared" ca="1" si="160"/>
        <v>0</v>
      </c>
      <c r="AP478" t="str">
        <f t="shared" si="149"/>
        <v>Machinery &amp; Equipment_46447</v>
      </c>
      <c r="AQ478" t="str">
        <f t="shared" si="150"/>
        <v>Wood_46447</v>
      </c>
    </row>
    <row r="479" spans="31:43" ht="15.6" thickTop="1" thickBot="1">
      <c r="AE479" s="59" t="str">
        <f t="shared" si="151"/>
        <v>Machinery &amp; Equipment</v>
      </c>
      <c r="AF479" s="59" t="str">
        <f t="shared" si="159"/>
        <v>Electrical wire</v>
      </c>
      <c r="AG479" s="60">
        <f t="shared" si="161"/>
        <v>46447</v>
      </c>
      <c r="AH479" s="79">
        <f ca="1">IFERROR(INDEX('Core Inputs Interface'!$1:$1048576,MATCH($AE479,'Core Inputs Interface'!$H:$H,0),MATCH($AG479,'Core Inputs Interface'!$17:$17,0)),"")</f>
        <v>0</v>
      </c>
      <c r="AI479" s="55">
        <f t="shared" si="157"/>
        <v>0</v>
      </c>
      <c r="AJ479" s="55">
        <f t="shared" si="153"/>
        <v>0.80654510583379313</v>
      </c>
      <c r="AK479" s="55">
        <f t="shared" si="154"/>
        <v>0.6</v>
      </c>
      <c r="AL479" s="55">
        <f t="shared" ca="1" si="158"/>
        <v>0.25</v>
      </c>
      <c r="AM479" s="65">
        <f t="shared" ca="1" si="155"/>
        <v>0</v>
      </c>
      <c r="AN479" s="66">
        <f t="shared" ca="1" si="156"/>
        <v>0</v>
      </c>
      <c r="AO479" s="56">
        <f t="shared" ca="1" si="160"/>
        <v>0</v>
      </c>
      <c r="AP479" t="str">
        <f t="shared" si="149"/>
        <v>Machinery &amp; Equipment_46447</v>
      </c>
      <c r="AQ479" t="str">
        <f t="shared" si="150"/>
        <v>Electrical wire_46447</v>
      </c>
    </row>
    <row r="480" spans="31:43" ht="15.6" thickTop="1" thickBot="1">
      <c r="AE480" s="59" t="str">
        <f t="shared" si="151"/>
        <v>Machinery &amp; Equipment</v>
      </c>
      <c r="AF480" s="59" t="str">
        <f t="shared" si="159"/>
        <v>Glass</v>
      </c>
      <c r="AG480" s="60">
        <f t="shared" si="161"/>
        <v>46447</v>
      </c>
      <c r="AH480" s="79">
        <f ca="1">IFERROR(INDEX('Core Inputs Interface'!$1:$1048576,MATCH($AE480,'Core Inputs Interface'!$H:$H,0),MATCH($AG480,'Core Inputs Interface'!$17:$17,0)),"")</f>
        <v>0</v>
      </c>
      <c r="AI480" s="55">
        <f t="shared" si="157"/>
        <v>0</v>
      </c>
      <c r="AJ480" s="55">
        <f t="shared" si="153"/>
        <v>0.24210307145623419</v>
      </c>
      <c r="AK480" s="55">
        <f t="shared" si="154"/>
        <v>0.6</v>
      </c>
      <c r="AL480" s="55">
        <f t="shared" ca="1" si="158"/>
        <v>0.25</v>
      </c>
      <c r="AM480" s="65">
        <f t="shared" ca="1" si="155"/>
        <v>0</v>
      </c>
      <c r="AN480" s="66">
        <f t="shared" ca="1" si="156"/>
        <v>0</v>
      </c>
      <c r="AO480" s="56">
        <f t="shared" ca="1" si="160"/>
        <v>0</v>
      </c>
      <c r="AP480" t="str">
        <f t="shared" si="149"/>
        <v>Machinery &amp; Equipment_46447</v>
      </c>
      <c r="AQ480" t="str">
        <f t="shared" si="150"/>
        <v>Glass_46447</v>
      </c>
    </row>
    <row r="481" spans="30:43" ht="15.6" thickTop="1" thickBot="1">
      <c r="AE481" s="59" t="str">
        <f t="shared" si="151"/>
        <v>Machinery &amp; Equipment</v>
      </c>
      <c r="AF481" s="59" t="str">
        <f t="shared" si="159"/>
        <v>Roofing</v>
      </c>
      <c r="AG481" s="60">
        <f t="shared" si="161"/>
        <v>46447</v>
      </c>
      <c r="AH481" s="79">
        <f ca="1">IFERROR(INDEX('Core Inputs Interface'!$1:$1048576,MATCH($AE481,'Core Inputs Interface'!$H:$H,0),MATCH($AG481,'Core Inputs Interface'!$17:$17,0)),"")</f>
        <v>0</v>
      </c>
      <c r="AI481" s="55">
        <f t="shared" si="157"/>
        <v>0</v>
      </c>
      <c r="AJ481" s="55">
        <f t="shared" si="153"/>
        <v>2.4772729573316262E-4</v>
      </c>
      <c r="AK481" s="55">
        <f t="shared" si="154"/>
        <v>0.6</v>
      </c>
      <c r="AL481" s="55">
        <f t="shared" ca="1" si="158"/>
        <v>0.25</v>
      </c>
      <c r="AM481" s="65">
        <f t="shared" ca="1" si="155"/>
        <v>0</v>
      </c>
      <c r="AN481" s="66">
        <f t="shared" ca="1" si="156"/>
        <v>0</v>
      </c>
      <c r="AO481" s="56">
        <f t="shared" ca="1" si="160"/>
        <v>0</v>
      </c>
      <c r="AP481" t="str">
        <f t="shared" si="149"/>
        <v>Machinery &amp; Equipment_46447</v>
      </c>
      <c r="AQ481" t="str">
        <f t="shared" si="150"/>
        <v>Roofing_46447</v>
      </c>
    </row>
    <row r="482" spans="30:43" ht="15.6" thickTop="1" thickBot="1">
      <c r="AE482" s="59" t="str">
        <f t="shared" si="151"/>
        <v>Machinery &amp; Equipment</v>
      </c>
      <c r="AF482" s="59" t="str">
        <f t="shared" si="159"/>
        <v>Interior</v>
      </c>
      <c r="AG482" s="60">
        <f t="shared" si="161"/>
        <v>46447</v>
      </c>
      <c r="AH482" s="79">
        <f ca="1">IFERROR(INDEX('Core Inputs Interface'!$1:$1048576,MATCH($AE482,'Core Inputs Interface'!$H:$H,0),MATCH($AG482,'Core Inputs Interface'!$17:$17,0)),"")</f>
        <v>0</v>
      </c>
      <c r="AI482" s="55">
        <f t="shared" si="157"/>
        <v>0</v>
      </c>
      <c r="AJ482" s="55">
        <f t="shared" si="153"/>
        <v>0.54050345117059384</v>
      </c>
      <c r="AK482" s="55">
        <f t="shared" si="154"/>
        <v>0.6</v>
      </c>
      <c r="AL482" s="55">
        <f t="shared" ca="1" si="158"/>
        <v>0.25</v>
      </c>
      <c r="AM482" s="65">
        <f t="shared" ca="1" si="155"/>
        <v>0</v>
      </c>
      <c r="AN482" s="66">
        <f t="shared" ca="1" si="156"/>
        <v>0</v>
      </c>
      <c r="AO482" s="56">
        <f t="shared" ca="1" si="160"/>
        <v>0</v>
      </c>
      <c r="AP482" t="str">
        <f t="shared" si="149"/>
        <v>Machinery &amp; Equipment_46447</v>
      </c>
      <c r="AQ482" t="str">
        <f t="shared" si="150"/>
        <v>Interior_46447</v>
      </c>
    </row>
    <row r="483" spans="30:43" ht="15.6" thickTop="1" thickBot="1">
      <c r="AE483" s="59" t="str">
        <f t="shared" si="151"/>
        <v>Machinery &amp; Equipment</v>
      </c>
      <c r="AF483" s="59" t="str">
        <f t="shared" si="159"/>
        <v>Bitumen</v>
      </c>
      <c r="AG483" s="60">
        <f t="shared" si="161"/>
        <v>46447</v>
      </c>
      <c r="AH483" s="79">
        <f ca="1">IFERROR(INDEX('Core Inputs Interface'!$1:$1048576,MATCH($AE483,'Core Inputs Interface'!$H:$H,0),MATCH($AG483,'Core Inputs Interface'!$17:$17,0)),"")</f>
        <v>0</v>
      </c>
      <c r="AI483" s="55">
        <f t="shared" si="157"/>
        <v>0</v>
      </c>
      <c r="AJ483" s="55">
        <f t="shared" si="153"/>
        <v>0.14985905317691026</v>
      </c>
      <c r="AK483" s="55">
        <f t="shared" si="154"/>
        <v>0.6</v>
      </c>
      <c r="AL483" s="55">
        <f t="shared" ca="1" si="158"/>
        <v>0.25</v>
      </c>
      <c r="AM483" s="65">
        <f t="shared" ca="1" si="155"/>
        <v>0</v>
      </c>
      <c r="AN483" s="66">
        <f t="shared" ca="1" si="156"/>
        <v>0</v>
      </c>
      <c r="AO483" s="56">
        <f t="shared" ca="1" si="160"/>
        <v>0</v>
      </c>
      <c r="AP483" t="str">
        <f t="shared" si="149"/>
        <v>Machinery &amp; Equipment_46447</v>
      </c>
      <c r="AQ483" t="str">
        <f t="shared" si="150"/>
        <v>Bitumen_46447</v>
      </c>
    </row>
    <row r="484" spans="30:43" ht="15.6" thickTop="1" thickBot="1">
      <c r="AE484" s="59" t="str">
        <f t="shared" si="151"/>
        <v>Machinery &amp; Equipment</v>
      </c>
      <c r="AF484" s="59" t="str">
        <f t="shared" si="159"/>
        <v>Polyethylene pipes</v>
      </c>
      <c r="AG484" s="60">
        <f t="shared" si="161"/>
        <v>46447</v>
      </c>
      <c r="AH484" s="79">
        <f ca="1">IFERROR(INDEX('Core Inputs Interface'!$1:$1048576,MATCH($AE484,'Core Inputs Interface'!$H:$H,0),MATCH($AG484,'Core Inputs Interface'!$17:$17,0)),"")</f>
        <v>0</v>
      </c>
      <c r="AI484" s="55">
        <f t="shared" si="157"/>
        <v>0</v>
      </c>
      <c r="AJ484" s="55">
        <f t="shared" si="153"/>
        <v>0.12828361767948987</v>
      </c>
      <c r="AK484" s="55">
        <f t="shared" si="154"/>
        <v>0.6</v>
      </c>
      <c r="AL484" s="55">
        <f t="shared" ca="1" si="158"/>
        <v>0.25</v>
      </c>
      <c r="AM484" s="65">
        <f t="shared" ca="1" si="155"/>
        <v>0</v>
      </c>
      <c r="AN484" s="66">
        <f t="shared" ca="1" si="156"/>
        <v>0</v>
      </c>
      <c r="AO484" s="56">
        <f t="shared" ca="1" si="160"/>
        <v>0</v>
      </c>
      <c r="AP484" t="str">
        <f t="shared" si="149"/>
        <v>Machinery &amp; Equipment_46447</v>
      </c>
      <c r="AQ484" t="str">
        <f t="shared" si="150"/>
        <v>Polyethylene pipes_46447</v>
      </c>
    </row>
    <row r="485" spans="30:43" ht="15.6" thickTop="1" thickBot="1">
      <c r="AE485" s="59" t="str">
        <f t="shared" si="151"/>
        <v>Machinery &amp; Equipment</v>
      </c>
      <c r="AF485" s="59" t="str">
        <f t="shared" si="159"/>
        <v>Plant and equipment</v>
      </c>
      <c r="AG485" s="60">
        <f t="shared" si="161"/>
        <v>46447</v>
      </c>
      <c r="AH485" s="79">
        <f ca="1">IFERROR(INDEX('Core Inputs Interface'!$1:$1048576,MATCH($AE485,'Core Inputs Interface'!$H:$H,0),MATCH($AG485,'Core Inputs Interface'!$17:$17,0)),"")</f>
        <v>0</v>
      </c>
      <c r="AI485" s="55">
        <f t="shared" si="157"/>
        <v>0</v>
      </c>
      <c r="AJ485" s="55">
        <f t="shared" si="153"/>
        <v>0.31546495432215926</v>
      </c>
      <c r="AK485" s="55">
        <f t="shared" si="154"/>
        <v>0.8</v>
      </c>
      <c r="AL485" s="55">
        <f t="shared" ca="1" si="158"/>
        <v>0.25</v>
      </c>
      <c r="AM485" s="65">
        <f t="shared" ca="1" si="155"/>
        <v>0</v>
      </c>
      <c r="AN485" s="66">
        <f t="shared" ca="1" si="156"/>
        <v>0</v>
      </c>
      <c r="AO485" s="56">
        <f t="shared" ca="1" si="160"/>
        <v>0</v>
      </c>
      <c r="AP485" t="str">
        <f t="shared" si="149"/>
        <v>Machinery &amp; Equipment_46447</v>
      </c>
      <c r="AQ485" t="str">
        <f t="shared" si="150"/>
        <v>Plant and equipment_46447</v>
      </c>
    </row>
    <row r="486" spans="30:43" ht="15.6" thickTop="1" thickBot="1">
      <c r="AE486" s="59" t="str">
        <f t="shared" si="151"/>
        <v>Machinery &amp; Equipment</v>
      </c>
      <c r="AF486" s="59" t="str">
        <f t="shared" si="159"/>
        <v>Electrical equipment</v>
      </c>
      <c r="AG486" s="60">
        <f t="shared" si="161"/>
        <v>46447</v>
      </c>
      <c r="AH486" s="79">
        <f ca="1">IFERROR(INDEX('Core Inputs Interface'!$1:$1048576,MATCH($AE486,'Core Inputs Interface'!$H:$H,0),MATCH($AG486,'Core Inputs Interface'!$17:$17,0)),"")</f>
        <v>0</v>
      </c>
      <c r="AI486" s="55">
        <f t="shared" si="157"/>
        <v>0</v>
      </c>
      <c r="AJ486" s="55">
        <f t="shared" si="153"/>
        <v>0.48556692694591386</v>
      </c>
      <c r="AK486" s="55">
        <f t="shared" si="154"/>
        <v>0.8</v>
      </c>
      <c r="AL486" s="55">
        <f t="shared" ca="1" si="158"/>
        <v>0.25</v>
      </c>
      <c r="AM486" s="65">
        <f t="shared" ca="1" si="155"/>
        <v>0</v>
      </c>
      <c r="AN486" s="66">
        <f t="shared" ca="1" si="156"/>
        <v>0</v>
      </c>
      <c r="AO486" s="56">
        <f t="shared" ca="1" si="160"/>
        <v>0</v>
      </c>
      <c r="AP486" t="str">
        <f t="shared" si="149"/>
        <v>Machinery &amp; Equipment_46447</v>
      </c>
      <c r="AQ486" t="str">
        <f t="shared" si="150"/>
        <v>Electrical equipment_46447</v>
      </c>
    </row>
    <row r="487" spans="30:43" ht="15.6" thickTop="1" thickBot="1">
      <c r="AE487" s="59" t="str">
        <f t="shared" si="151"/>
        <v>Machinery &amp; Equipment</v>
      </c>
      <c r="AF487" s="59" t="str">
        <f t="shared" si="159"/>
        <v>Road equipment</v>
      </c>
      <c r="AG487" s="60">
        <f t="shared" si="161"/>
        <v>46447</v>
      </c>
      <c r="AH487" s="79">
        <f ca="1">IFERROR(INDEX('Core Inputs Interface'!$1:$1048576,MATCH($AE487,'Core Inputs Interface'!$H:$H,0),MATCH($AG487,'Core Inputs Interface'!$17:$17,0)),"")</f>
        <v>0</v>
      </c>
      <c r="AI487" s="55">
        <f t="shared" si="157"/>
        <v>0</v>
      </c>
      <c r="AJ487" s="55">
        <f t="shared" si="153"/>
        <v>0.23440288076987165</v>
      </c>
      <c r="AK487" s="55">
        <f t="shared" si="154"/>
        <v>0.8</v>
      </c>
      <c r="AL487" s="55">
        <f t="shared" ca="1" si="158"/>
        <v>0.25</v>
      </c>
      <c r="AM487" s="65">
        <f t="shared" ca="1" si="155"/>
        <v>0</v>
      </c>
      <c r="AN487" s="66">
        <f t="shared" ca="1" si="156"/>
        <v>0</v>
      </c>
      <c r="AO487" s="56">
        <f t="shared" ca="1" si="160"/>
        <v>0</v>
      </c>
      <c r="AP487" t="str">
        <f t="shared" si="149"/>
        <v>Machinery &amp; Equipment_46447</v>
      </c>
      <c r="AQ487" t="str">
        <f t="shared" si="150"/>
        <v>Road equipment_46447</v>
      </c>
    </row>
    <row r="488" spans="30:43" ht="15.6" thickTop="1" thickBot="1">
      <c r="AE488" s="59" t="str">
        <f t="shared" si="151"/>
        <v>Machinery &amp; Equipment</v>
      </c>
      <c r="AF488" s="59" t="str">
        <f t="shared" si="159"/>
        <v>Water equipment</v>
      </c>
      <c r="AG488" s="60">
        <f t="shared" si="161"/>
        <v>46447</v>
      </c>
      <c r="AH488" s="79">
        <f ca="1">IFERROR(INDEX('Core Inputs Interface'!$1:$1048576,MATCH($AE488,'Core Inputs Interface'!$H:$H,0),MATCH($AG488,'Core Inputs Interface'!$17:$17,0)),"")</f>
        <v>0</v>
      </c>
      <c r="AI488" s="55">
        <f t="shared" si="157"/>
        <v>0</v>
      </c>
      <c r="AJ488" s="55">
        <f t="shared" si="153"/>
        <v>0.53411483886586031</v>
      </c>
      <c r="AK488" s="55">
        <f t="shared" si="154"/>
        <v>0.8</v>
      </c>
      <c r="AL488" s="55">
        <f t="shared" ca="1" si="158"/>
        <v>0.25</v>
      </c>
      <c r="AM488" s="65">
        <f t="shared" ca="1" si="155"/>
        <v>0</v>
      </c>
      <c r="AN488" s="66">
        <f t="shared" ca="1" si="156"/>
        <v>0</v>
      </c>
      <c r="AO488" s="56">
        <f t="shared" ca="1" si="160"/>
        <v>0</v>
      </c>
      <c r="AP488" t="str">
        <f t="shared" si="149"/>
        <v>Machinery &amp; Equipment_46447</v>
      </c>
      <c r="AQ488" t="str">
        <f t="shared" si="150"/>
        <v>Water equipment_46447</v>
      </c>
    </row>
    <row r="489" spans="30:43" ht="15.6" thickTop="1" thickBot="1">
      <c r="AE489" s="59" t="str">
        <f t="shared" si="151"/>
        <v>Machinery &amp; Equipment</v>
      </c>
      <c r="AF489" s="59" t="str">
        <f t="shared" si="159"/>
        <v>Diesel</v>
      </c>
      <c r="AG489" s="60">
        <f t="shared" si="161"/>
        <v>46447</v>
      </c>
      <c r="AH489" s="79">
        <f ca="1">IFERROR(INDEX('Core Inputs Interface'!$1:$1048576,MATCH($AE489,'Core Inputs Interface'!$H:$H,0),MATCH($AG489,'Core Inputs Interface'!$17:$17,0)),"")</f>
        <v>0</v>
      </c>
      <c r="AI489" s="55">
        <f t="shared" si="157"/>
        <v>0</v>
      </c>
      <c r="AJ489" s="55">
        <f t="shared" si="153"/>
        <v>0.45356302165418505</v>
      </c>
      <c r="AK489" s="55">
        <f t="shared" si="154"/>
        <v>0.6</v>
      </c>
      <c r="AL489" s="55">
        <f t="shared" ca="1" si="158"/>
        <v>0.1</v>
      </c>
      <c r="AM489" s="65">
        <f t="shared" ca="1" si="155"/>
        <v>0</v>
      </c>
      <c r="AN489" s="66">
        <f t="shared" ca="1" si="156"/>
        <v>0</v>
      </c>
      <c r="AO489" s="56">
        <f t="shared" ca="1" si="160"/>
        <v>0</v>
      </c>
      <c r="AP489" t="str">
        <f t="shared" si="149"/>
        <v>Machinery &amp; Equipment_46447</v>
      </c>
      <c r="AQ489" t="str">
        <f t="shared" si="150"/>
        <v>Diesel_46447</v>
      </c>
    </row>
    <row r="490" spans="30:43" ht="15.6" thickTop="1" thickBot="1">
      <c r="AE490" s="59" t="str">
        <f t="shared" si="151"/>
        <v>Machinery &amp; Equipment</v>
      </c>
      <c r="AF490" s="59" t="str">
        <f t="shared" si="159"/>
        <v>Vehicles</v>
      </c>
      <c r="AG490" s="60">
        <f t="shared" si="161"/>
        <v>46447</v>
      </c>
      <c r="AH490" s="79">
        <f ca="1">IFERROR(INDEX('Core Inputs Interface'!$1:$1048576,MATCH($AE490,'Core Inputs Interface'!$H:$H,0),MATCH($AG490,'Core Inputs Interface'!$17:$17,0)),"")</f>
        <v>0</v>
      </c>
      <c r="AI490" s="55">
        <f t="shared" si="157"/>
        <v>0</v>
      </c>
      <c r="AJ490" s="55">
        <f t="shared" si="153"/>
        <v>0.52451068102476561</v>
      </c>
      <c r="AK490" s="55">
        <f t="shared" si="154"/>
        <v>0.8</v>
      </c>
      <c r="AL490" s="55">
        <f t="shared" ca="1" si="158"/>
        <v>0.25</v>
      </c>
      <c r="AM490" s="65">
        <f t="shared" ca="1" si="155"/>
        <v>0</v>
      </c>
      <c r="AN490" s="66">
        <f t="shared" ca="1" si="156"/>
        <v>0</v>
      </c>
      <c r="AO490" s="56">
        <f t="shared" ca="1" si="160"/>
        <v>0</v>
      </c>
      <c r="AP490" t="str">
        <f t="shared" si="149"/>
        <v>Machinery &amp; Equipment_46447</v>
      </c>
      <c r="AQ490" t="str">
        <f t="shared" si="150"/>
        <v>Vehicles_46447</v>
      </c>
    </row>
    <row r="491" spans="30:43" ht="15.6" thickTop="1" thickBot="1">
      <c r="AE491" s="59" t="str">
        <f>AE490</f>
        <v>Machinery &amp; Equipment</v>
      </c>
      <c r="AF491" s="59" t="str">
        <f t="shared" ref="AF491:AF492" si="162">AF469</f>
        <v>Machinery &amp; Equipment</v>
      </c>
      <c r="AG491" s="60">
        <f>AG490</f>
        <v>46447</v>
      </c>
      <c r="AH491" s="79">
        <f ca="1">IFERROR(INDEX('Core Inputs Interface'!$1:$1048576,MATCH($AE491,'Core Inputs Interface'!$H:$H,0),MATCH($AG491,'Core Inputs Interface'!$17:$17,0)),"")</f>
        <v>0</v>
      </c>
      <c r="AI491" s="55">
        <f t="shared" si="157"/>
        <v>1</v>
      </c>
      <c r="AJ491" s="55">
        <f t="shared" si="153"/>
        <v>0.39238740022595126</v>
      </c>
      <c r="AK491" s="55">
        <f t="shared" si="154"/>
        <v>0.8</v>
      </c>
      <c r="AL491" s="55">
        <f t="shared" ca="1" si="158"/>
        <v>0.25</v>
      </c>
      <c r="AM491" s="65">
        <f t="shared" ca="1" si="155"/>
        <v>0</v>
      </c>
      <c r="AN491" s="66">
        <f t="shared" ca="1" si="156"/>
        <v>0</v>
      </c>
      <c r="AO491" s="56">
        <f ca="1">IFERROR(AM491/AN491,0)</f>
        <v>0</v>
      </c>
      <c r="AP491" t="str">
        <f>_xlfn.TEXTJOIN("_",,$AE491,$AG491)</f>
        <v>Machinery &amp; Equipment_46447</v>
      </c>
      <c r="AQ491" t="str">
        <f>_xlfn.TEXTJOIN("_",,$AF491,$AG491)</f>
        <v>Machinery &amp; Equipment_46447</v>
      </c>
    </row>
    <row r="492" spans="30:43" ht="15.6" thickTop="1" thickBot="1">
      <c r="AE492" s="59" t="str">
        <f>AE491</f>
        <v>Machinery &amp; Equipment</v>
      </c>
      <c r="AF492" s="59" t="str">
        <f t="shared" si="162"/>
        <v>Office Equipment &amp; IT</v>
      </c>
      <c r="AG492" s="60">
        <f>AG491</f>
        <v>46447</v>
      </c>
      <c r="AH492" s="79">
        <f ca="1">IFERROR(INDEX('Core Inputs Interface'!$1:$1048576,MATCH($AE492,'Core Inputs Interface'!$H:$H,0),MATCH($AG492,'Core Inputs Interface'!$17:$17,0)),"")</f>
        <v>0</v>
      </c>
      <c r="AI492" s="55">
        <f t="shared" si="157"/>
        <v>0</v>
      </c>
      <c r="AJ492" s="55">
        <f t="shared" si="153"/>
        <v>0.15</v>
      </c>
      <c r="AK492" s="55">
        <f t="shared" si="154"/>
        <v>0.8</v>
      </c>
      <c r="AL492" s="55">
        <f t="shared" ca="1" si="158"/>
        <v>0.25</v>
      </c>
      <c r="AM492" s="65">
        <f t="shared" ca="1" si="155"/>
        <v>0</v>
      </c>
      <c r="AN492" s="66">
        <f t="shared" ca="1" si="156"/>
        <v>0</v>
      </c>
      <c r="AO492" s="56">
        <f ca="1">IFERROR(AM492/AN492,0)</f>
        <v>0</v>
      </c>
      <c r="AP492" t="str">
        <f>_xlfn.TEXTJOIN("_",,$AE492,$AG492)</f>
        <v>Machinery &amp; Equipment_46447</v>
      </c>
      <c r="AQ492" t="str">
        <f>_xlfn.TEXTJOIN("_",,$AF492,$AG492)</f>
        <v>Office Equipment &amp; IT_46447</v>
      </c>
    </row>
    <row r="493" spans="30:43" ht="15.6" thickTop="1" thickBot="1">
      <c r="AD493">
        <f>AD449+1</f>
        <v>12</v>
      </c>
      <c r="AE493" s="57" t="str" cm="1">
        <f t="array" ref="AE493">INDEX($F$8:$Q$8,$AD493)</f>
        <v>Office Equipment &amp; IT</v>
      </c>
      <c r="AF493" s="58" t="s">
        <v>66</v>
      </c>
      <c r="AG493" s="62">
        <v>46082</v>
      </c>
      <c r="AH493" s="79">
        <f ca="1">IFERROR(INDEX('Core Inputs Interface'!$1:$1048576,MATCH($AE493,'Core Inputs Interface'!$H:$H,0),MATCH($AG493,'Core Inputs Interface'!$17:$17,0)),"")</f>
        <v>0</v>
      </c>
      <c r="AI493" s="55">
        <f t="shared" si="157"/>
        <v>0</v>
      </c>
      <c r="AJ493" s="55" t="str">
        <f t="shared" si="153"/>
        <v>N/A</v>
      </c>
      <c r="AK493" s="55" t="str">
        <f t="shared" si="154"/>
        <v>N/A</v>
      </c>
      <c r="AL493" s="55" t="str">
        <f t="shared" ca="1" si="158"/>
        <v>N/A</v>
      </c>
      <c r="AM493" s="65">
        <f t="shared" ca="1" si="155"/>
        <v>0</v>
      </c>
      <c r="AN493" s="66">
        <f t="shared" ca="1" si="156"/>
        <v>0</v>
      </c>
      <c r="AO493" s="56">
        <f ca="1">IFERROR(AM493/AN493,0)</f>
        <v>0</v>
      </c>
      <c r="AP493" t="str">
        <f>_xlfn.TEXTJOIN("_",,$AE493,$AG493)</f>
        <v>Office Equipment &amp; IT_46082</v>
      </c>
      <c r="AQ493" t="str">
        <f>_xlfn.TEXTJOIN("_",,$AF493,$AG493)</f>
        <v>Labour_46082</v>
      </c>
    </row>
    <row r="494" spans="30:43" ht="15.6" thickTop="1" thickBot="1">
      <c r="AE494" s="59" t="str">
        <f>AE493</f>
        <v>Office Equipment &amp; IT</v>
      </c>
      <c r="AF494" s="58" t="s">
        <v>67</v>
      </c>
      <c r="AG494" s="60">
        <f>AG493</f>
        <v>46082</v>
      </c>
      <c r="AH494" s="79">
        <f ca="1">IFERROR(INDEX('Core Inputs Interface'!$1:$1048576,MATCH($AE494,'Core Inputs Interface'!$H:$H,0),MATCH($AG494,'Core Inputs Interface'!$17:$17,0)),"")</f>
        <v>0</v>
      </c>
      <c r="AI494" s="55">
        <f t="shared" si="157"/>
        <v>0</v>
      </c>
      <c r="AJ494" s="55" t="str">
        <f t="shared" si="153"/>
        <v>N/A</v>
      </c>
      <c r="AK494" s="55" t="str">
        <f t="shared" si="154"/>
        <v>N/A</v>
      </c>
      <c r="AL494" s="55" t="str">
        <f t="shared" ca="1" si="158"/>
        <v>N/A</v>
      </c>
      <c r="AM494" s="65">
        <f t="shared" ca="1" si="155"/>
        <v>0</v>
      </c>
      <c r="AN494" s="66">
        <f t="shared" ca="1" si="156"/>
        <v>0</v>
      </c>
      <c r="AO494" s="56">
        <f t="shared" ref="AO494:AO512" ca="1" si="163">IFERROR(AM494/AN494,0)</f>
        <v>0</v>
      </c>
      <c r="AP494" t="str">
        <f t="shared" ref="AP494:AP534" si="164">_xlfn.TEXTJOIN("_",,$AE494,$AG494)</f>
        <v>Office Equipment &amp; IT_46082</v>
      </c>
      <c r="AQ494" t="str">
        <f t="shared" ref="AQ494:AQ534" si="165">_xlfn.TEXTJOIN("_",,$AF494,$AG494)</f>
        <v>Engineering design_46082</v>
      </c>
    </row>
    <row r="495" spans="30:43" ht="15.6" thickTop="1" thickBot="1">
      <c r="AE495" s="59" t="str">
        <f t="shared" ref="AE495:AE534" si="166">AE494</f>
        <v>Office Equipment &amp; IT</v>
      </c>
      <c r="AF495" s="58" t="s">
        <v>26</v>
      </c>
      <c r="AG495" s="60">
        <f t="shared" ref="AG495:AG512" si="167">AG494</f>
        <v>46082</v>
      </c>
      <c r="AH495" s="79">
        <f ca="1">IFERROR(INDEX('Core Inputs Interface'!$1:$1048576,MATCH($AE495,'Core Inputs Interface'!$H:$H,0),MATCH($AG495,'Core Inputs Interface'!$17:$17,0)),"")</f>
        <v>0</v>
      </c>
      <c r="AI495" s="55">
        <f t="shared" si="157"/>
        <v>0</v>
      </c>
      <c r="AJ495" s="55">
        <f t="shared" si="153"/>
        <v>8.4066217963502693E-2</v>
      </c>
      <c r="AK495" s="55">
        <f t="shared" si="154"/>
        <v>0.6</v>
      </c>
      <c r="AL495" s="55">
        <f t="shared" ca="1" si="158"/>
        <v>0.25</v>
      </c>
      <c r="AM495" s="65">
        <f t="shared" ca="1" si="155"/>
        <v>0</v>
      </c>
      <c r="AN495" s="66">
        <f t="shared" ca="1" si="156"/>
        <v>0</v>
      </c>
      <c r="AO495" s="56">
        <f t="shared" ca="1" si="163"/>
        <v>0</v>
      </c>
      <c r="AP495" t="str">
        <f t="shared" si="164"/>
        <v>Office Equipment &amp; IT_46082</v>
      </c>
      <c r="AQ495" t="str">
        <f t="shared" si="165"/>
        <v>Reinforcing bar_46082</v>
      </c>
    </row>
    <row r="496" spans="30:43" ht="15.6" thickTop="1" thickBot="1">
      <c r="AE496" s="59" t="str">
        <f t="shared" si="166"/>
        <v>Office Equipment &amp; IT</v>
      </c>
      <c r="AF496" s="58" t="s">
        <v>27</v>
      </c>
      <c r="AG496" s="60">
        <f t="shared" si="167"/>
        <v>46082</v>
      </c>
      <c r="AH496" s="79">
        <f ca="1">IFERROR(INDEX('Core Inputs Interface'!$1:$1048576,MATCH($AE496,'Core Inputs Interface'!$H:$H,0),MATCH($AG496,'Core Inputs Interface'!$17:$17,0)),"")</f>
        <v>0</v>
      </c>
      <c r="AI496" s="55">
        <f t="shared" si="157"/>
        <v>0</v>
      </c>
      <c r="AJ496" s="55">
        <f t="shared" si="153"/>
        <v>0.52500514810102583</v>
      </c>
      <c r="AK496" s="55">
        <f t="shared" si="154"/>
        <v>0.6</v>
      </c>
      <c r="AL496" s="55">
        <f t="shared" ca="1" si="158"/>
        <v>0.25</v>
      </c>
      <c r="AM496" s="65">
        <f t="shared" ca="1" si="155"/>
        <v>0</v>
      </c>
      <c r="AN496" s="66">
        <f t="shared" ca="1" si="156"/>
        <v>0</v>
      </c>
      <c r="AO496" s="56">
        <f t="shared" ca="1" si="163"/>
        <v>0</v>
      </c>
      <c r="AP496" t="str">
        <f t="shared" si="164"/>
        <v>Office Equipment &amp; IT_46082</v>
      </c>
      <c r="AQ496" t="str">
        <f t="shared" si="165"/>
        <v>Structural steel_46082</v>
      </c>
    </row>
    <row r="497" spans="31:43" ht="15.6" thickTop="1" thickBot="1">
      <c r="AE497" s="59" t="str">
        <f t="shared" si="166"/>
        <v>Office Equipment &amp; IT</v>
      </c>
      <c r="AF497" s="58" t="s">
        <v>28</v>
      </c>
      <c r="AG497" s="60">
        <f t="shared" si="167"/>
        <v>46082</v>
      </c>
      <c r="AH497" s="79">
        <f ca="1">IFERROR(INDEX('Core Inputs Interface'!$1:$1048576,MATCH($AE497,'Core Inputs Interface'!$H:$H,0),MATCH($AG497,'Core Inputs Interface'!$17:$17,0)),"")</f>
        <v>0</v>
      </c>
      <c r="AI497" s="55">
        <f t="shared" si="157"/>
        <v>0</v>
      </c>
      <c r="AJ497" s="55">
        <f t="shared" si="153"/>
        <v>9.1004090556242881E-2</v>
      </c>
      <c r="AK497" s="55">
        <f t="shared" si="154"/>
        <v>0.6</v>
      </c>
      <c r="AL497" s="55">
        <f t="shared" ca="1" si="158"/>
        <v>0.25</v>
      </c>
      <c r="AM497" s="65">
        <f t="shared" ca="1" si="155"/>
        <v>0</v>
      </c>
      <c r="AN497" s="66">
        <f t="shared" ca="1" si="156"/>
        <v>0</v>
      </c>
      <c r="AO497" s="56">
        <f t="shared" ca="1" si="163"/>
        <v>0</v>
      </c>
      <c r="AP497" t="str">
        <f t="shared" si="164"/>
        <v>Office Equipment &amp; IT_46082</v>
      </c>
      <c r="AQ497" t="str">
        <f t="shared" si="165"/>
        <v>Quarry Material_46082</v>
      </c>
    </row>
    <row r="498" spans="31:43" ht="15.6" thickTop="1" thickBot="1">
      <c r="AE498" s="59" t="str">
        <f t="shared" si="166"/>
        <v>Office Equipment &amp; IT</v>
      </c>
      <c r="AF498" s="58" t="s">
        <v>30</v>
      </c>
      <c r="AG498" s="60">
        <f t="shared" si="167"/>
        <v>46082</v>
      </c>
      <c r="AH498" s="79">
        <f ca="1">IFERROR(INDEX('Core Inputs Interface'!$1:$1048576,MATCH($AE498,'Core Inputs Interface'!$H:$H,0),MATCH($AG498,'Core Inputs Interface'!$17:$17,0)),"")</f>
        <v>0</v>
      </c>
      <c r="AI498" s="55">
        <f t="shared" si="157"/>
        <v>0</v>
      </c>
      <c r="AJ498" s="55">
        <f t="shared" si="153"/>
        <v>1.1472584695084088E-2</v>
      </c>
      <c r="AK498" s="55">
        <f t="shared" si="154"/>
        <v>0.6</v>
      </c>
      <c r="AL498" s="55">
        <f t="shared" ca="1" si="158"/>
        <v>0.25</v>
      </c>
      <c r="AM498" s="65">
        <f t="shared" ca="1" si="155"/>
        <v>0</v>
      </c>
      <c r="AN498" s="66">
        <f t="shared" ca="1" si="156"/>
        <v>0</v>
      </c>
      <c r="AO498" s="56">
        <f t="shared" ca="1" si="163"/>
        <v>0</v>
      </c>
      <c r="AP498" t="str">
        <f t="shared" si="164"/>
        <v>Office Equipment &amp; IT_46082</v>
      </c>
      <c r="AQ498" t="str">
        <f t="shared" si="165"/>
        <v>Concrete_46082</v>
      </c>
    </row>
    <row r="499" spans="31:43" ht="15.6" thickTop="1" thickBot="1">
      <c r="AE499" s="59" t="str">
        <f t="shared" si="166"/>
        <v>Office Equipment &amp; IT</v>
      </c>
      <c r="AF499" s="57" t="s">
        <v>32</v>
      </c>
      <c r="AG499" s="60">
        <f t="shared" si="167"/>
        <v>46082</v>
      </c>
      <c r="AH499" s="79">
        <f ca="1">IFERROR(INDEX('Core Inputs Interface'!$1:$1048576,MATCH($AE499,'Core Inputs Interface'!$H:$H,0),MATCH($AG499,'Core Inputs Interface'!$17:$17,0)),"")</f>
        <v>0</v>
      </c>
      <c r="AI499" s="55">
        <f t="shared" si="157"/>
        <v>0</v>
      </c>
      <c r="AJ499" s="55">
        <f t="shared" si="153"/>
        <v>9.8410961434768088E-2</v>
      </c>
      <c r="AK499" s="55">
        <f t="shared" si="154"/>
        <v>0.6</v>
      </c>
      <c r="AL499" s="55">
        <f t="shared" ca="1" si="158"/>
        <v>0.25</v>
      </c>
      <c r="AM499" s="65">
        <f t="shared" ca="1" si="155"/>
        <v>0</v>
      </c>
      <c r="AN499" s="66">
        <f t="shared" ca="1" si="156"/>
        <v>0</v>
      </c>
      <c r="AO499" s="56">
        <f t="shared" ca="1" si="163"/>
        <v>0</v>
      </c>
      <c r="AP499" t="str">
        <f t="shared" si="164"/>
        <v>Office Equipment &amp; IT_46082</v>
      </c>
      <c r="AQ499" t="str">
        <f t="shared" si="165"/>
        <v>Masonry_46082</v>
      </c>
    </row>
    <row r="500" spans="31:43" ht="15.6" thickTop="1" thickBot="1">
      <c r="AE500" s="59" t="str">
        <f t="shared" si="166"/>
        <v>Office Equipment &amp; IT</v>
      </c>
      <c r="AF500" s="57" t="s">
        <v>34</v>
      </c>
      <c r="AG500" s="60">
        <f t="shared" si="167"/>
        <v>46082</v>
      </c>
      <c r="AH500" s="79">
        <f ca="1">IFERROR(INDEX('Core Inputs Interface'!$1:$1048576,MATCH($AE500,'Core Inputs Interface'!$H:$H,0),MATCH($AG500,'Core Inputs Interface'!$17:$17,0)),"")</f>
        <v>0</v>
      </c>
      <c r="AI500" s="55">
        <f t="shared" si="157"/>
        <v>0</v>
      </c>
      <c r="AJ500" s="55">
        <f t="shared" si="153"/>
        <v>0.13840817436677436</v>
      </c>
      <c r="AK500" s="55">
        <f t="shared" si="154"/>
        <v>0.6</v>
      </c>
      <c r="AL500" s="55">
        <f t="shared" ca="1" si="158"/>
        <v>0.25</v>
      </c>
      <c r="AM500" s="65">
        <f t="shared" ca="1" si="155"/>
        <v>0</v>
      </c>
      <c r="AN500" s="66">
        <f t="shared" ca="1" si="156"/>
        <v>0</v>
      </c>
      <c r="AO500" s="56">
        <f t="shared" ca="1" si="163"/>
        <v>0</v>
      </c>
      <c r="AP500" t="str">
        <f t="shared" si="164"/>
        <v>Office Equipment &amp; IT_46082</v>
      </c>
      <c r="AQ500" t="str">
        <f t="shared" si="165"/>
        <v>Wood_46082</v>
      </c>
    </row>
    <row r="501" spans="31:43" ht="15.6" thickTop="1" thickBot="1">
      <c r="AE501" s="59" t="str">
        <f t="shared" si="166"/>
        <v>Office Equipment &amp; IT</v>
      </c>
      <c r="AF501" s="57" t="s">
        <v>36</v>
      </c>
      <c r="AG501" s="60">
        <f t="shared" si="167"/>
        <v>46082</v>
      </c>
      <c r="AH501" s="79">
        <f ca="1">IFERROR(INDEX('Core Inputs Interface'!$1:$1048576,MATCH($AE501,'Core Inputs Interface'!$H:$H,0),MATCH($AG501,'Core Inputs Interface'!$17:$17,0)),"")</f>
        <v>0</v>
      </c>
      <c r="AI501" s="55">
        <f t="shared" si="157"/>
        <v>0</v>
      </c>
      <c r="AJ501" s="55">
        <f t="shared" si="153"/>
        <v>0.80654510583379313</v>
      </c>
      <c r="AK501" s="55">
        <f t="shared" si="154"/>
        <v>0.6</v>
      </c>
      <c r="AL501" s="55">
        <f t="shared" ca="1" si="158"/>
        <v>0.25</v>
      </c>
      <c r="AM501" s="65">
        <f t="shared" ca="1" si="155"/>
        <v>0</v>
      </c>
      <c r="AN501" s="66">
        <f t="shared" ca="1" si="156"/>
        <v>0</v>
      </c>
      <c r="AO501" s="56">
        <f t="shared" ca="1" si="163"/>
        <v>0</v>
      </c>
      <c r="AP501" t="str">
        <f t="shared" si="164"/>
        <v>Office Equipment &amp; IT_46082</v>
      </c>
      <c r="AQ501" t="str">
        <f t="shared" si="165"/>
        <v>Electrical wire_46082</v>
      </c>
    </row>
    <row r="502" spans="31:43" ht="15.6" thickTop="1" thickBot="1">
      <c r="AE502" s="59" t="str">
        <f t="shared" si="166"/>
        <v>Office Equipment &amp; IT</v>
      </c>
      <c r="AF502" s="57" t="s">
        <v>38</v>
      </c>
      <c r="AG502" s="60">
        <f t="shared" si="167"/>
        <v>46082</v>
      </c>
      <c r="AH502" s="79">
        <f ca="1">IFERROR(INDEX('Core Inputs Interface'!$1:$1048576,MATCH($AE502,'Core Inputs Interface'!$H:$H,0),MATCH($AG502,'Core Inputs Interface'!$17:$17,0)),"")</f>
        <v>0</v>
      </c>
      <c r="AI502" s="55">
        <f t="shared" si="157"/>
        <v>0</v>
      </c>
      <c r="AJ502" s="55">
        <f t="shared" si="153"/>
        <v>0.24210307145623419</v>
      </c>
      <c r="AK502" s="55">
        <f t="shared" si="154"/>
        <v>0.6</v>
      </c>
      <c r="AL502" s="55">
        <f t="shared" ca="1" si="158"/>
        <v>0.25</v>
      </c>
      <c r="AM502" s="65">
        <f t="shared" ca="1" si="155"/>
        <v>0</v>
      </c>
      <c r="AN502" s="66">
        <f t="shared" ca="1" si="156"/>
        <v>0</v>
      </c>
      <c r="AO502" s="56">
        <f t="shared" ca="1" si="163"/>
        <v>0</v>
      </c>
      <c r="AP502" t="str">
        <f t="shared" si="164"/>
        <v>Office Equipment &amp; IT_46082</v>
      </c>
      <c r="AQ502" t="str">
        <f t="shared" si="165"/>
        <v>Glass_46082</v>
      </c>
    </row>
    <row r="503" spans="31:43" ht="15.6" thickTop="1" thickBot="1">
      <c r="AE503" s="59" t="str">
        <f t="shared" si="166"/>
        <v>Office Equipment &amp; IT</v>
      </c>
      <c r="AF503" s="57" t="s">
        <v>40</v>
      </c>
      <c r="AG503" s="60">
        <f t="shared" si="167"/>
        <v>46082</v>
      </c>
      <c r="AH503" s="79">
        <f ca="1">IFERROR(INDEX('Core Inputs Interface'!$1:$1048576,MATCH($AE503,'Core Inputs Interface'!$H:$H,0),MATCH($AG503,'Core Inputs Interface'!$17:$17,0)),"")</f>
        <v>0</v>
      </c>
      <c r="AI503" s="55">
        <f t="shared" si="157"/>
        <v>0</v>
      </c>
      <c r="AJ503" s="55">
        <f t="shared" si="153"/>
        <v>2.4772729573316262E-4</v>
      </c>
      <c r="AK503" s="55">
        <f t="shared" si="154"/>
        <v>0.6</v>
      </c>
      <c r="AL503" s="55">
        <f t="shared" ca="1" si="158"/>
        <v>0.25</v>
      </c>
      <c r="AM503" s="65">
        <f t="shared" ca="1" si="155"/>
        <v>0</v>
      </c>
      <c r="AN503" s="66">
        <f t="shared" ca="1" si="156"/>
        <v>0</v>
      </c>
      <c r="AO503" s="56">
        <f t="shared" ca="1" si="163"/>
        <v>0</v>
      </c>
      <c r="AP503" t="str">
        <f t="shared" si="164"/>
        <v>Office Equipment &amp; IT_46082</v>
      </c>
      <c r="AQ503" t="str">
        <f t="shared" si="165"/>
        <v>Roofing_46082</v>
      </c>
    </row>
    <row r="504" spans="31:43" ht="15.6" thickTop="1" thickBot="1">
      <c r="AE504" s="59" t="str">
        <f t="shared" si="166"/>
        <v>Office Equipment &amp; IT</v>
      </c>
      <c r="AF504" s="57" t="s">
        <v>42</v>
      </c>
      <c r="AG504" s="60">
        <f t="shared" si="167"/>
        <v>46082</v>
      </c>
      <c r="AH504" s="79">
        <f ca="1">IFERROR(INDEX('Core Inputs Interface'!$1:$1048576,MATCH($AE504,'Core Inputs Interface'!$H:$H,0),MATCH($AG504,'Core Inputs Interface'!$17:$17,0)),"")</f>
        <v>0</v>
      </c>
      <c r="AI504" s="55">
        <f t="shared" si="157"/>
        <v>0</v>
      </c>
      <c r="AJ504" s="55">
        <f t="shared" si="153"/>
        <v>0.54050345117059384</v>
      </c>
      <c r="AK504" s="55">
        <f t="shared" si="154"/>
        <v>0.6</v>
      </c>
      <c r="AL504" s="55">
        <f t="shared" ca="1" si="158"/>
        <v>0.25</v>
      </c>
      <c r="AM504" s="65">
        <f t="shared" ca="1" si="155"/>
        <v>0</v>
      </c>
      <c r="AN504" s="66">
        <f t="shared" ca="1" si="156"/>
        <v>0</v>
      </c>
      <c r="AO504" s="56">
        <f t="shared" ca="1" si="163"/>
        <v>0</v>
      </c>
      <c r="AP504" t="str">
        <f t="shared" si="164"/>
        <v>Office Equipment &amp; IT_46082</v>
      </c>
      <c r="AQ504" t="str">
        <f t="shared" si="165"/>
        <v>Interior_46082</v>
      </c>
    </row>
    <row r="505" spans="31:43" ht="15.6" thickTop="1" thickBot="1">
      <c r="AE505" s="59" t="str">
        <f t="shared" si="166"/>
        <v>Office Equipment &amp; IT</v>
      </c>
      <c r="AF505" s="57" t="s">
        <v>44</v>
      </c>
      <c r="AG505" s="60">
        <f t="shared" si="167"/>
        <v>46082</v>
      </c>
      <c r="AH505" s="79">
        <f ca="1">IFERROR(INDEX('Core Inputs Interface'!$1:$1048576,MATCH($AE505,'Core Inputs Interface'!$H:$H,0),MATCH($AG505,'Core Inputs Interface'!$17:$17,0)),"")</f>
        <v>0</v>
      </c>
      <c r="AI505" s="55">
        <f t="shared" si="157"/>
        <v>0</v>
      </c>
      <c r="AJ505" s="55">
        <f t="shared" si="153"/>
        <v>0.14985905317691026</v>
      </c>
      <c r="AK505" s="55">
        <f t="shared" si="154"/>
        <v>0.6</v>
      </c>
      <c r="AL505" s="55">
        <f t="shared" ca="1" si="158"/>
        <v>0.25</v>
      </c>
      <c r="AM505" s="65">
        <f t="shared" ca="1" si="155"/>
        <v>0</v>
      </c>
      <c r="AN505" s="66">
        <f t="shared" ca="1" si="156"/>
        <v>0</v>
      </c>
      <c r="AO505" s="56">
        <f t="shared" ca="1" si="163"/>
        <v>0</v>
      </c>
      <c r="AP505" t="str">
        <f t="shared" si="164"/>
        <v>Office Equipment &amp; IT_46082</v>
      </c>
      <c r="AQ505" t="str">
        <f t="shared" si="165"/>
        <v>Bitumen_46082</v>
      </c>
    </row>
    <row r="506" spans="31:43" ht="15.6" thickTop="1" thickBot="1">
      <c r="AE506" s="59" t="str">
        <f t="shared" si="166"/>
        <v>Office Equipment &amp; IT</v>
      </c>
      <c r="AF506" s="57" t="s">
        <v>46</v>
      </c>
      <c r="AG506" s="60">
        <f t="shared" si="167"/>
        <v>46082</v>
      </c>
      <c r="AH506" s="79">
        <f ca="1">IFERROR(INDEX('Core Inputs Interface'!$1:$1048576,MATCH($AE506,'Core Inputs Interface'!$H:$H,0),MATCH($AG506,'Core Inputs Interface'!$17:$17,0)),"")</f>
        <v>0</v>
      </c>
      <c r="AI506" s="55">
        <f t="shared" si="157"/>
        <v>0</v>
      </c>
      <c r="AJ506" s="55">
        <f t="shared" si="153"/>
        <v>0.12828361767948987</v>
      </c>
      <c r="AK506" s="55">
        <f t="shared" si="154"/>
        <v>0.6</v>
      </c>
      <c r="AL506" s="55">
        <f t="shared" ca="1" si="158"/>
        <v>0.25</v>
      </c>
      <c r="AM506" s="65">
        <f t="shared" ca="1" si="155"/>
        <v>0</v>
      </c>
      <c r="AN506" s="66">
        <f t="shared" ca="1" si="156"/>
        <v>0</v>
      </c>
      <c r="AO506" s="56">
        <f t="shared" ca="1" si="163"/>
        <v>0</v>
      </c>
      <c r="AP506" t="str">
        <f t="shared" si="164"/>
        <v>Office Equipment &amp; IT_46082</v>
      </c>
      <c r="AQ506" t="str">
        <f t="shared" si="165"/>
        <v>Polyethylene pipes_46082</v>
      </c>
    </row>
    <row r="507" spans="31:43" ht="15.6" thickTop="1" thickBot="1">
      <c r="AE507" s="59" t="str">
        <f t="shared" si="166"/>
        <v>Office Equipment &amp; IT</v>
      </c>
      <c r="AF507" s="57" t="s">
        <v>48</v>
      </c>
      <c r="AG507" s="60">
        <f t="shared" si="167"/>
        <v>46082</v>
      </c>
      <c r="AH507" s="79">
        <f ca="1">IFERROR(INDEX('Core Inputs Interface'!$1:$1048576,MATCH($AE507,'Core Inputs Interface'!$H:$H,0),MATCH($AG507,'Core Inputs Interface'!$17:$17,0)),"")</f>
        <v>0</v>
      </c>
      <c r="AI507" s="55">
        <f t="shared" si="157"/>
        <v>0</v>
      </c>
      <c r="AJ507" s="55">
        <f t="shared" si="153"/>
        <v>0.31546495432215926</v>
      </c>
      <c r="AK507" s="55">
        <f t="shared" si="154"/>
        <v>0.8</v>
      </c>
      <c r="AL507" s="55">
        <f t="shared" ca="1" si="158"/>
        <v>0.25</v>
      </c>
      <c r="AM507" s="65">
        <f t="shared" ca="1" si="155"/>
        <v>0</v>
      </c>
      <c r="AN507" s="66">
        <f t="shared" ca="1" si="156"/>
        <v>0</v>
      </c>
      <c r="AO507" s="56">
        <f t="shared" ca="1" si="163"/>
        <v>0</v>
      </c>
      <c r="AP507" t="str">
        <f t="shared" si="164"/>
        <v>Office Equipment &amp; IT_46082</v>
      </c>
      <c r="AQ507" t="str">
        <f t="shared" si="165"/>
        <v>Plant and equipment_46082</v>
      </c>
    </row>
    <row r="508" spans="31:43" ht="15.6" thickTop="1" thickBot="1">
      <c r="AE508" s="59" t="str">
        <f t="shared" si="166"/>
        <v>Office Equipment &amp; IT</v>
      </c>
      <c r="AF508" s="57" t="s">
        <v>50</v>
      </c>
      <c r="AG508" s="60">
        <f t="shared" si="167"/>
        <v>46082</v>
      </c>
      <c r="AH508" s="79">
        <f ca="1">IFERROR(INDEX('Core Inputs Interface'!$1:$1048576,MATCH($AE508,'Core Inputs Interface'!$H:$H,0),MATCH($AG508,'Core Inputs Interface'!$17:$17,0)),"")</f>
        <v>0</v>
      </c>
      <c r="AI508" s="55">
        <f t="shared" si="157"/>
        <v>0</v>
      </c>
      <c r="AJ508" s="55">
        <f t="shared" si="153"/>
        <v>0.48556692694591386</v>
      </c>
      <c r="AK508" s="55">
        <f t="shared" si="154"/>
        <v>0.8</v>
      </c>
      <c r="AL508" s="55">
        <f t="shared" ca="1" si="158"/>
        <v>0.25</v>
      </c>
      <c r="AM508" s="65">
        <f t="shared" ca="1" si="155"/>
        <v>0</v>
      </c>
      <c r="AN508" s="66">
        <f t="shared" ca="1" si="156"/>
        <v>0</v>
      </c>
      <c r="AO508" s="56">
        <f t="shared" ca="1" si="163"/>
        <v>0</v>
      </c>
      <c r="AP508" t="str">
        <f t="shared" si="164"/>
        <v>Office Equipment &amp; IT_46082</v>
      </c>
      <c r="AQ508" t="str">
        <f t="shared" si="165"/>
        <v>Electrical equipment_46082</v>
      </c>
    </row>
    <row r="509" spans="31:43" ht="15.6" thickTop="1" thickBot="1">
      <c r="AE509" s="59" t="str">
        <f t="shared" si="166"/>
        <v>Office Equipment &amp; IT</v>
      </c>
      <c r="AF509" s="57" t="s">
        <v>52</v>
      </c>
      <c r="AG509" s="60">
        <f t="shared" si="167"/>
        <v>46082</v>
      </c>
      <c r="AH509" s="79">
        <f ca="1">IFERROR(INDEX('Core Inputs Interface'!$1:$1048576,MATCH($AE509,'Core Inputs Interface'!$H:$H,0),MATCH($AG509,'Core Inputs Interface'!$17:$17,0)),"")</f>
        <v>0</v>
      </c>
      <c r="AI509" s="55">
        <f t="shared" si="157"/>
        <v>0</v>
      </c>
      <c r="AJ509" s="55">
        <f t="shared" si="153"/>
        <v>0.23440288076987165</v>
      </c>
      <c r="AK509" s="55">
        <f t="shared" si="154"/>
        <v>0.8</v>
      </c>
      <c r="AL509" s="55">
        <f t="shared" ca="1" si="158"/>
        <v>0.25</v>
      </c>
      <c r="AM509" s="65">
        <f t="shared" ca="1" si="155"/>
        <v>0</v>
      </c>
      <c r="AN509" s="66">
        <f t="shared" ca="1" si="156"/>
        <v>0</v>
      </c>
      <c r="AO509" s="56">
        <f t="shared" ca="1" si="163"/>
        <v>0</v>
      </c>
      <c r="AP509" t="str">
        <f t="shared" si="164"/>
        <v>Office Equipment &amp; IT_46082</v>
      </c>
      <c r="AQ509" t="str">
        <f t="shared" si="165"/>
        <v>Road equipment_46082</v>
      </c>
    </row>
    <row r="510" spans="31:43" ht="15.6" thickTop="1" thickBot="1">
      <c r="AE510" s="59" t="str">
        <f t="shared" si="166"/>
        <v>Office Equipment &amp; IT</v>
      </c>
      <c r="AF510" s="57" t="s">
        <v>54</v>
      </c>
      <c r="AG510" s="60">
        <f t="shared" si="167"/>
        <v>46082</v>
      </c>
      <c r="AH510" s="79">
        <f ca="1">IFERROR(INDEX('Core Inputs Interface'!$1:$1048576,MATCH($AE510,'Core Inputs Interface'!$H:$H,0),MATCH($AG510,'Core Inputs Interface'!$17:$17,0)),"")</f>
        <v>0</v>
      </c>
      <c r="AI510" s="55">
        <f t="shared" si="157"/>
        <v>0</v>
      </c>
      <c r="AJ510" s="55">
        <f t="shared" si="153"/>
        <v>0.53411483886586031</v>
      </c>
      <c r="AK510" s="55">
        <f t="shared" si="154"/>
        <v>0.8</v>
      </c>
      <c r="AL510" s="55">
        <f t="shared" ca="1" si="158"/>
        <v>0.25</v>
      </c>
      <c r="AM510" s="65">
        <f t="shared" ca="1" si="155"/>
        <v>0</v>
      </c>
      <c r="AN510" s="66">
        <f t="shared" ca="1" si="156"/>
        <v>0</v>
      </c>
      <c r="AO510" s="56">
        <f t="shared" ca="1" si="163"/>
        <v>0</v>
      </c>
      <c r="AP510" t="str">
        <f t="shared" si="164"/>
        <v>Office Equipment &amp; IT_46082</v>
      </c>
      <c r="AQ510" t="str">
        <f t="shared" si="165"/>
        <v>Water equipment_46082</v>
      </c>
    </row>
    <row r="511" spans="31:43" ht="15.6" thickTop="1" thickBot="1">
      <c r="AE511" s="59" t="str">
        <f t="shared" si="166"/>
        <v>Office Equipment &amp; IT</v>
      </c>
      <c r="AF511" s="57" t="s">
        <v>56</v>
      </c>
      <c r="AG511" s="60">
        <f t="shared" si="167"/>
        <v>46082</v>
      </c>
      <c r="AH511" s="79">
        <f ca="1">IFERROR(INDEX('Core Inputs Interface'!$1:$1048576,MATCH($AE511,'Core Inputs Interface'!$H:$H,0),MATCH($AG511,'Core Inputs Interface'!$17:$17,0)),"")</f>
        <v>0</v>
      </c>
      <c r="AI511" s="55">
        <f t="shared" si="157"/>
        <v>0</v>
      </c>
      <c r="AJ511" s="55">
        <f t="shared" si="153"/>
        <v>0.45356302165418505</v>
      </c>
      <c r="AK511" s="55">
        <f t="shared" si="154"/>
        <v>0.6</v>
      </c>
      <c r="AL511" s="55">
        <f t="shared" ca="1" si="158"/>
        <v>0.1</v>
      </c>
      <c r="AM511" s="65">
        <f t="shared" ca="1" si="155"/>
        <v>0</v>
      </c>
      <c r="AN511" s="66">
        <f t="shared" ca="1" si="156"/>
        <v>0</v>
      </c>
      <c r="AO511" s="56">
        <f t="shared" ca="1" si="163"/>
        <v>0</v>
      </c>
      <c r="AP511" t="str">
        <f t="shared" si="164"/>
        <v>Office Equipment &amp; IT_46082</v>
      </c>
      <c r="AQ511" t="str">
        <f t="shared" si="165"/>
        <v>Diesel_46082</v>
      </c>
    </row>
    <row r="512" spans="31:43" ht="15.6" thickTop="1" thickBot="1">
      <c r="AE512" s="59" t="str">
        <f t="shared" si="166"/>
        <v>Office Equipment &amp; IT</v>
      </c>
      <c r="AF512" s="57" t="s">
        <v>49</v>
      </c>
      <c r="AG512" s="60">
        <f t="shared" si="167"/>
        <v>46082</v>
      </c>
      <c r="AH512" s="79">
        <f ca="1">IFERROR(INDEX('Core Inputs Interface'!$1:$1048576,MATCH($AE512,'Core Inputs Interface'!$H:$H,0),MATCH($AG512,'Core Inputs Interface'!$17:$17,0)),"")</f>
        <v>0</v>
      </c>
      <c r="AI512" s="55">
        <f t="shared" si="157"/>
        <v>0</v>
      </c>
      <c r="AJ512" s="55">
        <f t="shared" si="153"/>
        <v>0.52451068102476561</v>
      </c>
      <c r="AK512" s="55">
        <f t="shared" si="154"/>
        <v>0.8</v>
      </c>
      <c r="AL512" s="55">
        <f t="shared" ca="1" si="158"/>
        <v>0.25</v>
      </c>
      <c r="AM512" s="65">
        <f t="shared" ca="1" si="155"/>
        <v>0</v>
      </c>
      <c r="AN512" s="66">
        <f t="shared" ca="1" si="156"/>
        <v>0</v>
      </c>
      <c r="AO512" s="56">
        <f t="shared" ca="1" si="163"/>
        <v>0</v>
      </c>
      <c r="AP512" t="str">
        <f t="shared" si="164"/>
        <v>Office Equipment &amp; IT_46082</v>
      </c>
      <c r="AQ512" t="str">
        <f t="shared" si="165"/>
        <v>Vehicles_46082</v>
      </c>
    </row>
    <row r="513" spans="31:43" ht="15.6" thickTop="1" thickBot="1">
      <c r="AE513" s="59" t="str">
        <f>AE512</f>
        <v>Office Equipment &amp; IT</v>
      </c>
      <c r="AF513" s="57" t="s">
        <v>51</v>
      </c>
      <c r="AG513" s="60">
        <f>AG512</f>
        <v>46082</v>
      </c>
      <c r="AH513" s="79">
        <f ca="1">IFERROR(INDEX('Core Inputs Interface'!$1:$1048576,MATCH($AE513,'Core Inputs Interface'!$H:$H,0),MATCH($AG513,'Core Inputs Interface'!$17:$17,0)),"")</f>
        <v>0</v>
      </c>
      <c r="AI513" s="55">
        <f t="shared" si="157"/>
        <v>0</v>
      </c>
      <c r="AJ513" s="55">
        <f t="shared" si="153"/>
        <v>0.39238740022595126</v>
      </c>
      <c r="AK513" s="55">
        <f t="shared" si="154"/>
        <v>0.8</v>
      </c>
      <c r="AL513" s="55">
        <f t="shared" ca="1" si="158"/>
        <v>0.25</v>
      </c>
      <c r="AM513" s="65">
        <f t="shared" ca="1" si="155"/>
        <v>0</v>
      </c>
      <c r="AN513" s="66">
        <f t="shared" ca="1" si="156"/>
        <v>0</v>
      </c>
      <c r="AO513" s="56">
        <f ca="1">IFERROR(AM513/AN513,0)</f>
        <v>0</v>
      </c>
      <c r="AP513" t="str">
        <f>_xlfn.TEXTJOIN("_",,$AE513,$AG513)</f>
        <v>Office Equipment &amp; IT_46082</v>
      </c>
      <c r="AQ513" t="str">
        <f>_xlfn.TEXTJOIN("_",,$AF513,$AG513)</f>
        <v>Machinery &amp; Equipment_46082</v>
      </c>
    </row>
    <row r="514" spans="31:43" ht="15.6" thickTop="1" thickBot="1">
      <c r="AE514" s="59" t="str">
        <f>AE513</f>
        <v>Office Equipment &amp; IT</v>
      </c>
      <c r="AF514" s="57" t="s">
        <v>53</v>
      </c>
      <c r="AG514" s="60">
        <f>AG513</f>
        <v>46082</v>
      </c>
      <c r="AH514" s="79">
        <f ca="1">IFERROR(INDEX('Core Inputs Interface'!$1:$1048576,MATCH($AE514,'Core Inputs Interface'!$H:$H,0),MATCH($AG514,'Core Inputs Interface'!$17:$17,0)),"")</f>
        <v>0</v>
      </c>
      <c r="AI514" s="55">
        <f t="shared" si="157"/>
        <v>1</v>
      </c>
      <c r="AJ514" s="55">
        <f t="shared" si="153"/>
        <v>0.15</v>
      </c>
      <c r="AK514" s="55">
        <f t="shared" si="154"/>
        <v>0.8</v>
      </c>
      <c r="AL514" s="55">
        <f t="shared" ca="1" si="158"/>
        <v>0.25</v>
      </c>
      <c r="AM514" s="65">
        <f t="shared" ca="1" si="155"/>
        <v>0</v>
      </c>
      <c r="AN514" s="66">
        <f t="shared" ca="1" si="156"/>
        <v>0</v>
      </c>
      <c r="AO514" s="56">
        <f ca="1">IFERROR(AM514/AN514,0)</f>
        <v>0</v>
      </c>
      <c r="AP514" t="str">
        <f>_xlfn.TEXTJOIN("_",,$AE514,$AG514)</f>
        <v>Office Equipment &amp; IT_46082</v>
      </c>
      <c r="AQ514" t="str">
        <f>_xlfn.TEXTJOIN("_",,$AF514,$AG514)</f>
        <v>Office Equipment &amp; IT_46082</v>
      </c>
    </row>
    <row r="515" spans="31:43" ht="15.6" thickTop="1" thickBot="1">
      <c r="AE515" s="59" t="str">
        <f>AE512</f>
        <v>Office Equipment &amp; IT</v>
      </c>
      <c r="AF515" s="59" t="str">
        <f t="shared" ref="AF515:AF534" si="168">AF493</f>
        <v>Labour</v>
      </c>
      <c r="AG515" s="61">
        <f>EDATE(AG493,12)</f>
        <v>46447</v>
      </c>
      <c r="AH515" s="79">
        <f ca="1">IFERROR(INDEX('Core Inputs Interface'!$1:$1048576,MATCH($AE515,'Core Inputs Interface'!$H:$H,0),MATCH($AG515,'Core Inputs Interface'!$17:$17,0)),"")</f>
        <v>0</v>
      </c>
      <c r="AI515" s="55">
        <f t="shared" si="157"/>
        <v>0</v>
      </c>
      <c r="AJ515" s="55" t="str">
        <f t="shared" si="153"/>
        <v>N/A</v>
      </c>
      <c r="AK515" s="55" t="str">
        <f t="shared" si="154"/>
        <v>N/A</v>
      </c>
      <c r="AL515" s="55" t="str">
        <f t="shared" ca="1" si="158"/>
        <v>N/A</v>
      </c>
      <c r="AM515" s="65">
        <f t="shared" ca="1" si="155"/>
        <v>0</v>
      </c>
      <c r="AN515" s="66">
        <f t="shared" ca="1" si="156"/>
        <v>0</v>
      </c>
      <c r="AO515" s="56">
        <f t="shared" ref="AO515:AO534" ca="1" si="169">IFERROR(AM515/AN515,0)</f>
        <v>0</v>
      </c>
      <c r="AP515" t="str">
        <f t="shared" si="164"/>
        <v>Office Equipment &amp; IT_46447</v>
      </c>
      <c r="AQ515" t="str">
        <f t="shared" si="165"/>
        <v>Labour_46447</v>
      </c>
    </row>
    <row r="516" spans="31:43" ht="15.6" thickTop="1" thickBot="1">
      <c r="AE516" s="59" t="str">
        <f t="shared" si="166"/>
        <v>Office Equipment &amp; IT</v>
      </c>
      <c r="AF516" s="59" t="str">
        <f t="shared" si="168"/>
        <v>Engineering design</v>
      </c>
      <c r="AG516" s="60">
        <f>AG515</f>
        <v>46447</v>
      </c>
      <c r="AH516" s="79">
        <f ca="1">IFERROR(INDEX('Core Inputs Interface'!$1:$1048576,MATCH($AE516,'Core Inputs Interface'!$H:$H,0),MATCH($AG516,'Core Inputs Interface'!$17:$17,0)),"")</f>
        <v>0</v>
      </c>
      <c r="AI516" s="55">
        <f t="shared" si="157"/>
        <v>0</v>
      </c>
      <c r="AJ516" s="55" t="str">
        <f t="shared" si="153"/>
        <v>N/A</v>
      </c>
      <c r="AK516" s="55" t="str">
        <f t="shared" si="154"/>
        <v>N/A</v>
      </c>
      <c r="AL516" s="55" t="str">
        <f t="shared" ca="1" si="158"/>
        <v>N/A</v>
      </c>
      <c r="AM516" s="65">
        <f t="shared" ca="1" si="155"/>
        <v>0</v>
      </c>
      <c r="AN516" s="66">
        <f t="shared" ca="1" si="156"/>
        <v>0</v>
      </c>
      <c r="AO516" s="56">
        <f t="shared" ca="1" si="169"/>
        <v>0</v>
      </c>
      <c r="AP516" t="str">
        <f t="shared" si="164"/>
        <v>Office Equipment &amp; IT_46447</v>
      </c>
      <c r="AQ516" t="str">
        <f t="shared" si="165"/>
        <v>Engineering design_46447</v>
      </c>
    </row>
    <row r="517" spans="31:43" ht="15.6" thickTop="1" thickBot="1">
      <c r="AE517" s="59" t="str">
        <f t="shared" si="166"/>
        <v>Office Equipment &amp; IT</v>
      </c>
      <c r="AF517" s="59" t="str">
        <f t="shared" si="168"/>
        <v>Reinforcing bar</v>
      </c>
      <c r="AG517" s="60">
        <f t="shared" ref="AG517:AG534" si="170">AG516</f>
        <v>46447</v>
      </c>
      <c r="AH517" s="79">
        <f ca="1">IFERROR(INDEX('Core Inputs Interface'!$1:$1048576,MATCH($AE517,'Core Inputs Interface'!$H:$H,0),MATCH($AG517,'Core Inputs Interface'!$17:$17,0)),"")</f>
        <v>0</v>
      </c>
      <c r="AI517" s="55">
        <f t="shared" si="157"/>
        <v>0</v>
      </c>
      <c r="AJ517" s="55">
        <f t="shared" si="153"/>
        <v>8.4066217963502693E-2</v>
      </c>
      <c r="AK517" s="55">
        <f t="shared" si="154"/>
        <v>0.6</v>
      </c>
      <c r="AL517" s="55">
        <f t="shared" ca="1" si="158"/>
        <v>0.25</v>
      </c>
      <c r="AM517" s="65">
        <f t="shared" ca="1" si="155"/>
        <v>0</v>
      </c>
      <c r="AN517" s="66">
        <f t="shared" ca="1" si="156"/>
        <v>0</v>
      </c>
      <c r="AO517" s="56">
        <f t="shared" ca="1" si="169"/>
        <v>0</v>
      </c>
      <c r="AP517" t="str">
        <f t="shared" si="164"/>
        <v>Office Equipment &amp; IT_46447</v>
      </c>
      <c r="AQ517" t="str">
        <f t="shared" si="165"/>
        <v>Reinforcing bar_46447</v>
      </c>
    </row>
    <row r="518" spans="31:43" ht="15.6" thickTop="1" thickBot="1">
      <c r="AE518" s="59" t="str">
        <f t="shared" si="166"/>
        <v>Office Equipment &amp; IT</v>
      </c>
      <c r="AF518" s="59" t="str">
        <f t="shared" si="168"/>
        <v>Structural steel</v>
      </c>
      <c r="AG518" s="60">
        <f t="shared" si="170"/>
        <v>46447</v>
      </c>
      <c r="AH518" s="79">
        <f ca="1">IFERROR(INDEX('Core Inputs Interface'!$1:$1048576,MATCH($AE518,'Core Inputs Interface'!$H:$H,0),MATCH($AG518,'Core Inputs Interface'!$17:$17,0)),"")</f>
        <v>0</v>
      </c>
      <c r="AI518" s="55">
        <f t="shared" si="157"/>
        <v>0</v>
      </c>
      <c r="AJ518" s="55">
        <f t="shared" si="153"/>
        <v>0.52500514810102583</v>
      </c>
      <c r="AK518" s="55">
        <f t="shared" si="154"/>
        <v>0.6</v>
      </c>
      <c r="AL518" s="55">
        <f t="shared" ca="1" si="158"/>
        <v>0.25</v>
      </c>
      <c r="AM518" s="65">
        <f t="shared" ca="1" si="155"/>
        <v>0</v>
      </c>
      <c r="AN518" s="66">
        <f t="shared" ca="1" si="156"/>
        <v>0</v>
      </c>
      <c r="AO518" s="56">
        <f t="shared" ca="1" si="169"/>
        <v>0</v>
      </c>
      <c r="AP518" t="str">
        <f t="shared" si="164"/>
        <v>Office Equipment &amp; IT_46447</v>
      </c>
      <c r="AQ518" t="str">
        <f t="shared" si="165"/>
        <v>Structural steel_46447</v>
      </c>
    </row>
    <row r="519" spans="31:43" ht="15.6" thickTop="1" thickBot="1">
      <c r="AE519" s="59" t="str">
        <f t="shared" si="166"/>
        <v>Office Equipment &amp; IT</v>
      </c>
      <c r="AF519" s="59" t="str">
        <f t="shared" si="168"/>
        <v>Quarry Material</v>
      </c>
      <c r="AG519" s="60">
        <f t="shared" si="170"/>
        <v>46447</v>
      </c>
      <c r="AH519" s="79">
        <f ca="1">IFERROR(INDEX('Core Inputs Interface'!$1:$1048576,MATCH($AE519,'Core Inputs Interface'!$H:$H,0),MATCH($AG519,'Core Inputs Interface'!$17:$17,0)),"")</f>
        <v>0</v>
      </c>
      <c r="AI519" s="55">
        <f t="shared" si="157"/>
        <v>0</v>
      </c>
      <c r="AJ519" s="55">
        <f t="shared" si="153"/>
        <v>9.1004090556242881E-2</v>
      </c>
      <c r="AK519" s="55">
        <f t="shared" si="154"/>
        <v>0.6</v>
      </c>
      <c r="AL519" s="55">
        <f t="shared" ca="1" si="158"/>
        <v>0.25</v>
      </c>
      <c r="AM519" s="65">
        <f t="shared" ca="1" si="155"/>
        <v>0</v>
      </c>
      <c r="AN519" s="66">
        <f t="shared" ca="1" si="156"/>
        <v>0</v>
      </c>
      <c r="AO519" s="56">
        <f t="shared" ca="1" si="169"/>
        <v>0</v>
      </c>
      <c r="AP519" t="str">
        <f t="shared" si="164"/>
        <v>Office Equipment &amp; IT_46447</v>
      </c>
      <c r="AQ519" t="str">
        <f t="shared" si="165"/>
        <v>Quarry Material_46447</v>
      </c>
    </row>
    <row r="520" spans="31:43" ht="15.6" thickTop="1" thickBot="1">
      <c r="AE520" s="59" t="str">
        <f t="shared" si="166"/>
        <v>Office Equipment &amp; IT</v>
      </c>
      <c r="AF520" s="59" t="str">
        <f t="shared" si="168"/>
        <v>Concrete</v>
      </c>
      <c r="AG520" s="60">
        <f t="shared" si="170"/>
        <v>46447</v>
      </c>
      <c r="AH520" s="79">
        <f ca="1">IFERROR(INDEX('Core Inputs Interface'!$1:$1048576,MATCH($AE520,'Core Inputs Interface'!$H:$H,0),MATCH($AG520,'Core Inputs Interface'!$17:$17,0)),"")</f>
        <v>0</v>
      </c>
      <c r="AI520" s="55">
        <f t="shared" si="157"/>
        <v>0</v>
      </c>
      <c r="AJ520" s="55">
        <f t="shared" si="153"/>
        <v>1.1472584695084088E-2</v>
      </c>
      <c r="AK520" s="55">
        <f t="shared" si="154"/>
        <v>0.6</v>
      </c>
      <c r="AL520" s="55">
        <f t="shared" ca="1" si="158"/>
        <v>0.25</v>
      </c>
      <c r="AM520" s="65">
        <f t="shared" ca="1" si="155"/>
        <v>0</v>
      </c>
      <c r="AN520" s="66">
        <f t="shared" ca="1" si="156"/>
        <v>0</v>
      </c>
      <c r="AO520" s="56">
        <f t="shared" ca="1" si="169"/>
        <v>0</v>
      </c>
      <c r="AP520" t="str">
        <f t="shared" si="164"/>
        <v>Office Equipment &amp; IT_46447</v>
      </c>
      <c r="AQ520" t="str">
        <f t="shared" si="165"/>
        <v>Concrete_46447</v>
      </c>
    </row>
    <row r="521" spans="31:43" ht="15.6" thickTop="1" thickBot="1">
      <c r="AE521" s="59" t="str">
        <f t="shared" si="166"/>
        <v>Office Equipment &amp; IT</v>
      </c>
      <c r="AF521" s="59" t="str">
        <f t="shared" si="168"/>
        <v>Masonry</v>
      </c>
      <c r="AG521" s="60">
        <f t="shared" si="170"/>
        <v>46447</v>
      </c>
      <c r="AH521" s="79">
        <f ca="1">IFERROR(INDEX('Core Inputs Interface'!$1:$1048576,MATCH($AE521,'Core Inputs Interface'!$H:$H,0),MATCH($AG521,'Core Inputs Interface'!$17:$17,0)),"")</f>
        <v>0</v>
      </c>
      <c r="AI521" s="55">
        <f t="shared" si="157"/>
        <v>0</v>
      </c>
      <c r="AJ521" s="55">
        <f t="shared" ref="AJ521:AJ536" si="171">IFERROR(INDEX($U:$U,MATCH($AF521,$T:$T,0)),0)</f>
        <v>9.8410961434768088E-2</v>
      </c>
      <c r="AK521" s="55">
        <f t="shared" ref="AK521:AK536" si="172">IFERROR(INDEX($Y:$Y,MATCH($AF521,$X:$X,0)),0)</f>
        <v>0.6</v>
      </c>
      <c r="AL521" s="55">
        <f t="shared" ca="1" si="158"/>
        <v>0.25</v>
      </c>
      <c r="AM521" s="65">
        <f t="shared" ref="AM521:AM536" ca="1" si="173">IF(AL521="N/A",0,PRODUCT(AH521:AL521))</f>
        <v>0</v>
      </c>
      <c r="AN521" s="66">
        <f t="shared" ref="AN521:AN536" ca="1" si="174">PRODUCT(AH521:AI521)</f>
        <v>0</v>
      </c>
      <c r="AO521" s="56">
        <f t="shared" ca="1" si="169"/>
        <v>0</v>
      </c>
      <c r="AP521" t="str">
        <f t="shared" si="164"/>
        <v>Office Equipment &amp; IT_46447</v>
      </c>
      <c r="AQ521" t="str">
        <f t="shared" si="165"/>
        <v>Masonry_46447</v>
      </c>
    </row>
    <row r="522" spans="31:43" ht="15.6" thickTop="1" thickBot="1">
      <c r="AE522" s="59" t="str">
        <f t="shared" si="166"/>
        <v>Office Equipment &amp; IT</v>
      </c>
      <c r="AF522" s="59" t="str">
        <f t="shared" si="168"/>
        <v>Wood</v>
      </c>
      <c r="AG522" s="60">
        <f t="shared" si="170"/>
        <v>46447</v>
      </c>
      <c r="AH522" s="79">
        <f ca="1">IFERROR(INDEX('Core Inputs Interface'!$1:$1048576,MATCH($AE522,'Core Inputs Interface'!$H:$H,0),MATCH($AG522,'Core Inputs Interface'!$17:$17,0)),"")</f>
        <v>0</v>
      </c>
      <c r="AI522" s="55">
        <f t="shared" ref="AI522:AI536" si="175">IFERROR(INDEX($F$9:$Q$30,MATCH($AF522,$E$9:$E$30,0),MATCH($AE522,$F$8:$Q$8,0)),0)</f>
        <v>0</v>
      </c>
      <c r="AJ522" s="55">
        <f t="shared" si="171"/>
        <v>0.13840817436677436</v>
      </c>
      <c r="AK522" s="55">
        <f t="shared" si="172"/>
        <v>0.6</v>
      </c>
      <c r="AL522" s="55">
        <f t="shared" ref="AL522:AL536" ca="1" si="176">IFERROR(INDEX($Z$10:$AA$31,MATCH($AF522,$X$10:$X$31,0),MATCH($AG522,$Z$9:$AA$9,0)),0)</f>
        <v>0.25</v>
      </c>
      <c r="AM522" s="65">
        <f t="shared" ca="1" si="173"/>
        <v>0</v>
      </c>
      <c r="AN522" s="66">
        <f t="shared" ca="1" si="174"/>
        <v>0</v>
      </c>
      <c r="AO522" s="56">
        <f t="shared" ca="1" si="169"/>
        <v>0</v>
      </c>
      <c r="AP522" t="str">
        <f t="shared" si="164"/>
        <v>Office Equipment &amp; IT_46447</v>
      </c>
      <c r="AQ522" t="str">
        <f t="shared" si="165"/>
        <v>Wood_46447</v>
      </c>
    </row>
    <row r="523" spans="31:43" ht="15.6" thickTop="1" thickBot="1">
      <c r="AE523" s="59" t="str">
        <f t="shared" si="166"/>
        <v>Office Equipment &amp; IT</v>
      </c>
      <c r="AF523" s="59" t="str">
        <f t="shared" si="168"/>
        <v>Electrical wire</v>
      </c>
      <c r="AG523" s="60">
        <f t="shared" si="170"/>
        <v>46447</v>
      </c>
      <c r="AH523" s="79">
        <f ca="1">IFERROR(INDEX('Core Inputs Interface'!$1:$1048576,MATCH($AE523,'Core Inputs Interface'!$H:$H,0),MATCH($AG523,'Core Inputs Interface'!$17:$17,0)),"")</f>
        <v>0</v>
      </c>
      <c r="AI523" s="55">
        <f t="shared" si="175"/>
        <v>0</v>
      </c>
      <c r="AJ523" s="55">
        <f t="shared" si="171"/>
        <v>0.80654510583379313</v>
      </c>
      <c r="AK523" s="55">
        <f t="shared" si="172"/>
        <v>0.6</v>
      </c>
      <c r="AL523" s="55">
        <f t="shared" ca="1" si="176"/>
        <v>0.25</v>
      </c>
      <c r="AM523" s="65">
        <f t="shared" ca="1" si="173"/>
        <v>0</v>
      </c>
      <c r="AN523" s="66">
        <f t="shared" ca="1" si="174"/>
        <v>0</v>
      </c>
      <c r="AO523" s="56">
        <f t="shared" ca="1" si="169"/>
        <v>0</v>
      </c>
      <c r="AP523" t="str">
        <f t="shared" si="164"/>
        <v>Office Equipment &amp; IT_46447</v>
      </c>
      <c r="AQ523" t="str">
        <f t="shared" si="165"/>
        <v>Electrical wire_46447</v>
      </c>
    </row>
    <row r="524" spans="31:43" ht="15.6" thickTop="1" thickBot="1">
      <c r="AE524" s="59" t="str">
        <f t="shared" si="166"/>
        <v>Office Equipment &amp; IT</v>
      </c>
      <c r="AF524" s="59" t="str">
        <f t="shared" si="168"/>
        <v>Glass</v>
      </c>
      <c r="AG524" s="60">
        <f t="shared" si="170"/>
        <v>46447</v>
      </c>
      <c r="AH524" s="79">
        <f ca="1">IFERROR(INDEX('Core Inputs Interface'!$1:$1048576,MATCH($AE524,'Core Inputs Interface'!$H:$H,0),MATCH($AG524,'Core Inputs Interface'!$17:$17,0)),"")</f>
        <v>0</v>
      </c>
      <c r="AI524" s="55">
        <f t="shared" si="175"/>
        <v>0</v>
      </c>
      <c r="AJ524" s="55">
        <f t="shared" si="171"/>
        <v>0.24210307145623419</v>
      </c>
      <c r="AK524" s="55">
        <f t="shared" si="172"/>
        <v>0.6</v>
      </c>
      <c r="AL524" s="55">
        <f t="shared" ca="1" si="176"/>
        <v>0.25</v>
      </c>
      <c r="AM524" s="65">
        <f t="shared" ca="1" si="173"/>
        <v>0</v>
      </c>
      <c r="AN524" s="66">
        <f t="shared" ca="1" si="174"/>
        <v>0</v>
      </c>
      <c r="AO524" s="56">
        <f t="shared" ca="1" si="169"/>
        <v>0</v>
      </c>
      <c r="AP524" t="str">
        <f t="shared" si="164"/>
        <v>Office Equipment &amp; IT_46447</v>
      </c>
      <c r="AQ524" t="str">
        <f t="shared" si="165"/>
        <v>Glass_46447</v>
      </c>
    </row>
    <row r="525" spans="31:43" ht="15.6" thickTop="1" thickBot="1">
      <c r="AE525" s="59" t="str">
        <f t="shared" si="166"/>
        <v>Office Equipment &amp; IT</v>
      </c>
      <c r="AF525" s="59" t="str">
        <f t="shared" si="168"/>
        <v>Roofing</v>
      </c>
      <c r="AG525" s="60">
        <f t="shared" si="170"/>
        <v>46447</v>
      </c>
      <c r="AH525" s="79">
        <f ca="1">IFERROR(INDEX('Core Inputs Interface'!$1:$1048576,MATCH($AE525,'Core Inputs Interface'!$H:$H,0),MATCH($AG525,'Core Inputs Interface'!$17:$17,0)),"")</f>
        <v>0</v>
      </c>
      <c r="AI525" s="55">
        <f t="shared" si="175"/>
        <v>0</v>
      </c>
      <c r="AJ525" s="55">
        <f t="shared" si="171"/>
        <v>2.4772729573316262E-4</v>
      </c>
      <c r="AK525" s="55">
        <f t="shared" si="172"/>
        <v>0.6</v>
      </c>
      <c r="AL525" s="55">
        <f t="shared" ca="1" si="176"/>
        <v>0.25</v>
      </c>
      <c r="AM525" s="65">
        <f t="shared" ca="1" si="173"/>
        <v>0</v>
      </c>
      <c r="AN525" s="66">
        <f t="shared" ca="1" si="174"/>
        <v>0</v>
      </c>
      <c r="AO525" s="56">
        <f t="shared" ca="1" si="169"/>
        <v>0</v>
      </c>
      <c r="AP525" t="str">
        <f t="shared" si="164"/>
        <v>Office Equipment &amp; IT_46447</v>
      </c>
      <c r="AQ525" t="str">
        <f t="shared" si="165"/>
        <v>Roofing_46447</v>
      </c>
    </row>
    <row r="526" spans="31:43" ht="15.6" thickTop="1" thickBot="1">
      <c r="AE526" s="59" t="str">
        <f t="shared" si="166"/>
        <v>Office Equipment &amp; IT</v>
      </c>
      <c r="AF526" s="59" t="str">
        <f t="shared" si="168"/>
        <v>Interior</v>
      </c>
      <c r="AG526" s="60">
        <f t="shared" si="170"/>
        <v>46447</v>
      </c>
      <c r="AH526" s="79">
        <f ca="1">IFERROR(INDEX('Core Inputs Interface'!$1:$1048576,MATCH($AE526,'Core Inputs Interface'!$H:$H,0),MATCH($AG526,'Core Inputs Interface'!$17:$17,0)),"")</f>
        <v>0</v>
      </c>
      <c r="AI526" s="55">
        <f t="shared" si="175"/>
        <v>0</v>
      </c>
      <c r="AJ526" s="55">
        <f t="shared" si="171"/>
        <v>0.54050345117059384</v>
      </c>
      <c r="AK526" s="55">
        <f t="shared" si="172"/>
        <v>0.6</v>
      </c>
      <c r="AL526" s="55">
        <f t="shared" ca="1" si="176"/>
        <v>0.25</v>
      </c>
      <c r="AM526" s="65">
        <f t="shared" ca="1" si="173"/>
        <v>0</v>
      </c>
      <c r="AN526" s="66">
        <f t="shared" ca="1" si="174"/>
        <v>0</v>
      </c>
      <c r="AO526" s="56">
        <f t="shared" ca="1" si="169"/>
        <v>0</v>
      </c>
      <c r="AP526" t="str">
        <f t="shared" si="164"/>
        <v>Office Equipment &amp; IT_46447</v>
      </c>
      <c r="AQ526" t="str">
        <f t="shared" si="165"/>
        <v>Interior_46447</v>
      </c>
    </row>
    <row r="527" spans="31:43" ht="15.6" thickTop="1" thickBot="1">
      <c r="AE527" s="59" t="str">
        <f t="shared" si="166"/>
        <v>Office Equipment &amp; IT</v>
      </c>
      <c r="AF527" s="59" t="str">
        <f t="shared" si="168"/>
        <v>Bitumen</v>
      </c>
      <c r="AG527" s="60">
        <f t="shared" si="170"/>
        <v>46447</v>
      </c>
      <c r="AH527" s="79">
        <f ca="1">IFERROR(INDEX('Core Inputs Interface'!$1:$1048576,MATCH($AE527,'Core Inputs Interface'!$H:$H,0),MATCH($AG527,'Core Inputs Interface'!$17:$17,0)),"")</f>
        <v>0</v>
      </c>
      <c r="AI527" s="55">
        <f t="shared" si="175"/>
        <v>0</v>
      </c>
      <c r="AJ527" s="55">
        <f t="shared" si="171"/>
        <v>0.14985905317691026</v>
      </c>
      <c r="AK527" s="55">
        <f t="shared" si="172"/>
        <v>0.6</v>
      </c>
      <c r="AL527" s="55">
        <f t="shared" ca="1" si="176"/>
        <v>0.25</v>
      </c>
      <c r="AM527" s="65">
        <f t="shared" ca="1" si="173"/>
        <v>0</v>
      </c>
      <c r="AN527" s="66">
        <f t="shared" ca="1" si="174"/>
        <v>0</v>
      </c>
      <c r="AO527" s="56">
        <f t="shared" ca="1" si="169"/>
        <v>0</v>
      </c>
      <c r="AP527" t="str">
        <f t="shared" si="164"/>
        <v>Office Equipment &amp; IT_46447</v>
      </c>
      <c r="AQ527" t="str">
        <f t="shared" si="165"/>
        <v>Bitumen_46447</v>
      </c>
    </row>
    <row r="528" spans="31:43" ht="15.6" thickTop="1" thickBot="1">
      <c r="AE528" s="59" t="str">
        <f t="shared" si="166"/>
        <v>Office Equipment &amp; IT</v>
      </c>
      <c r="AF528" s="59" t="str">
        <f t="shared" si="168"/>
        <v>Polyethylene pipes</v>
      </c>
      <c r="AG528" s="60">
        <f t="shared" si="170"/>
        <v>46447</v>
      </c>
      <c r="AH528" s="79">
        <f ca="1">IFERROR(INDEX('Core Inputs Interface'!$1:$1048576,MATCH($AE528,'Core Inputs Interface'!$H:$H,0),MATCH($AG528,'Core Inputs Interface'!$17:$17,0)),"")</f>
        <v>0</v>
      </c>
      <c r="AI528" s="55">
        <f t="shared" si="175"/>
        <v>0</v>
      </c>
      <c r="AJ528" s="55">
        <f t="shared" si="171"/>
        <v>0.12828361767948987</v>
      </c>
      <c r="AK528" s="55">
        <f t="shared" si="172"/>
        <v>0.6</v>
      </c>
      <c r="AL528" s="55">
        <f t="shared" ca="1" si="176"/>
        <v>0.25</v>
      </c>
      <c r="AM528" s="65">
        <f t="shared" ca="1" si="173"/>
        <v>0</v>
      </c>
      <c r="AN528" s="66">
        <f t="shared" ca="1" si="174"/>
        <v>0</v>
      </c>
      <c r="AO528" s="56">
        <f t="shared" ca="1" si="169"/>
        <v>0</v>
      </c>
      <c r="AP528" t="str">
        <f t="shared" si="164"/>
        <v>Office Equipment &amp; IT_46447</v>
      </c>
      <c r="AQ528" t="str">
        <f t="shared" si="165"/>
        <v>Polyethylene pipes_46447</v>
      </c>
    </row>
    <row r="529" spans="30:43" ht="15.6" thickTop="1" thickBot="1">
      <c r="AE529" s="59" t="str">
        <f t="shared" si="166"/>
        <v>Office Equipment &amp; IT</v>
      </c>
      <c r="AF529" s="59" t="str">
        <f t="shared" si="168"/>
        <v>Plant and equipment</v>
      </c>
      <c r="AG529" s="60">
        <f t="shared" si="170"/>
        <v>46447</v>
      </c>
      <c r="AH529" s="79">
        <f ca="1">IFERROR(INDEX('Core Inputs Interface'!$1:$1048576,MATCH($AE529,'Core Inputs Interface'!$H:$H,0),MATCH($AG529,'Core Inputs Interface'!$17:$17,0)),"")</f>
        <v>0</v>
      </c>
      <c r="AI529" s="55">
        <f t="shared" si="175"/>
        <v>0</v>
      </c>
      <c r="AJ529" s="55">
        <f t="shared" si="171"/>
        <v>0.31546495432215926</v>
      </c>
      <c r="AK529" s="55">
        <f t="shared" si="172"/>
        <v>0.8</v>
      </c>
      <c r="AL529" s="55">
        <f t="shared" ca="1" si="176"/>
        <v>0.25</v>
      </c>
      <c r="AM529" s="65">
        <f t="shared" ca="1" si="173"/>
        <v>0</v>
      </c>
      <c r="AN529" s="66">
        <f t="shared" ca="1" si="174"/>
        <v>0</v>
      </c>
      <c r="AO529" s="56">
        <f t="shared" ca="1" si="169"/>
        <v>0</v>
      </c>
      <c r="AP529" t="str">
        <f t="shared" si="164"/>
        <v>Office Equipment &amp; IT_46447</v>
      </c>
      <c r="AQ529" t="str">
        <f t="shared" si="165"/>
        <v>Plant and equipment_46447</v>
      </c>
    </row>
    <row r="530" spans="30:43" ht="15.6" thickTop="1" thickBot="1">
      <c r="AE530" s="59" t="str">
        <f t="shared" si="166"/>
        <v>Office Equipment &amp; IT</v>
      </c>
      <c r="AF530" s="59" t="str">
        <f t="shared" si="168"/>
        <v>Electrical equipment</v>
      </c>
      <c r="AG530" s="60">
        <f t="shared" si="170"/>
        <v>46447</v>
      </c>
      <c r="AH530" s="79">
        <f ca="1">IFERROR(INDEX('Core Inputs Interface'!$1:$1048576,MATCH($AE530,'Core Inputs Interface'!$H:$H,0),MATCH($AG530,'Core Inputs Interface'!$17:$17,0)),"")</f>
        <v>0</v>
      </c>
      <c r="AI530" s="55">
        <f t="shared" si="175"/>
        <v>0</v>
      </c>
      <c r="AJ530" s="55">
        <f t="shared" si="171"/>
        <v>0.48556692694591386</v>
      </c>
      <c r="AK530" s="55">
        <f t="shared" si="172"/>
        <v>0.8</v>
      </c>
      <c r="AL530" s="55">
        <f t="shared" ca="1" si="176"/>
        <v>0.25</v>
      </c>
      <c r="AM530" s="65">
        <f t="shared" ca="1" si="173"/>
        <v>0</v>
      </c>
      <c r="AN530" s="66">
        <f t="shared" ca="1" si="174"/>
        <v>0</v>
      </c>
      <c r="AO530" s="56">
        <f t="shared" ca="1" si="169"/>
        <v>0</v>
      </c>
      <c r="AP530" t="str">
        <f t="shared" si="164"/>
        <v>Office Equipment &amp; IT_46447</v>
      </c>
      <c r="AQ530" t="str">
        <f t="shared" si="165"/>
        <v>Electrical equipment_46447</v>
      </c>
    </row>
    <row r="531" spans="30:43" ht="15.6" thickTop="1" thickBot="1">
      <c r="AE531" s="59" t="str">
        <f t="shared" si="166"/>
        <v>Office Equipment &amp; IT</v>
      </c>
      <c r="AF531" s="59" t="str">
        <f t="shared" si="168"/>
        <v>Road equipment</v>
      </c>
      <c r="AG531" s="60">
        <f t="shared" si="170"/>
        <v>46447</v>
      </c>
      <c r="AH531" s="79">
        <f ca="1">IFERROR(INDEX('Core Inputs Interface'!$1:$1048576,MATCH($AE531,'Core Inputs Interface'!$H:$H,0),MATCH($AG531,'Core Inputs Interface'!$17:$17,0)),"")</f>
        <v>0</v>
      </c>
      <c r="AI531" s="55">
        <f t="shared" si="175"/>
        <v>0</v>
      </c>
      <c r="AJ531" s="55">
        <f t="shared" si="171"/>
        <v>0.23440288076987165</v>
      </c>
      <c r="AK531" s="55">
        <f t="shared" si="172"/>
        <v>0.8</v>
      </c>
      <c r="AL531" s="55">
        <f t="shared" ca="1" si="176"/>
        <v>0.25</v>
      </c>
      <c r="AM531" s="65">
        <f t="shared" ca="1" si="173"/>
        <v>0</v>
      </c>
      <c r="AN531" s="66">
        <f t="shared" ca="1" si="174"/>
        <v>0</v>
      </c>
      <c r="AO531" s="56">
        <f t="shared" ca="1" si="169"/>
        <v>0</v>
      </c>
      <c r="AP531" t="str">
        <f t="shared" si="164"/>
        <v>Office Equipment &amp; IT_46447</v>
      </c>
      <c r="AQ531" t="str">
        <f t="shared" si="165"/>
        <v>Road equipment_46447</v>
      </c>
    </row>
    <row r="532" spans="30:43" ht="15.6" thickTop="1" thickBot="1">
      <c r="AE532" s="59" t="str">
        <f t="shared" si="166"/>
        <v>Office Equipment &amp; IT</v>
      </c>
      <c r="AF532" s="59" t="str">
        <f t="shared" si="168"/>
        <v>Water equipment</v>
      </c>
      <c r="AG532" s="60">
        <f t="shared" si="170"/>
        <v>46447</v>
      </c>
      <c r="AH532" s="79">
        <f ca="1">IFERROR(INDEX('Core Inputs Interface'!$1:$1048576,MATCH($AE532,'Core Inputs Interface'!$H:$H,0),MATCH($AG532,'Core Inputs Interface'!$17:$17,0)),"")</f>
        <v>0</v>
      </c>
      <c r="AI532" s="55">
        <f t="shared" si="175"/>
        <v>0</v>
      </c>
      <c r="AJ532" s="55">
        <f t="shared" si="171"/>
        <v>0.53411483886586031</v>
      </c>
      <c r="AK532" s="55">
        <f t="shared" si="172"/>
        <v>0.8</v>
      </c>
      <c r="AL532" s="55">
        <f t="shared" ca="1" si="176"/>
        <v>0.25</v>
      </c>
      <c r="AM532" s="65">
        <f t="shared" ca="1" si="173"/>
        <v>0</v>
      </c>
      <c r="AN532" s="66">
        <f t="shared" ca="1" si="174"/>
        <v>0</v>
      </c>
      <c r="AO532" s="56">
        <f t="shared" ca="1" si="169"/>
        <v>0</v>
      </c>
      <c r="AP532" t="str">
        <f t="shared" si="164"/>
        <v>Office Equipment &amp; IT_46447</v>
      </c>
      <c r="AQ532" t="str">
        <f t="shared" si="165"/>
        <v>Water equipment_46447</v>
      </c>
    </row>
    <row r="533" spans="30:43" ht="15.6" thickTop="1" thickBot="1">
      <c r="AE533" s="59" t="str">
        <f t="shared" si="166"/>
        <v>Office Equipment &amp; IT</v>
      </c>
      <c r="AF533" s="59" t="str">
        <f t="shared" si="168"/>
        <v>Diesel</v>
      </c>
      <c r="AG533" s="60">
        <f t="shared" si="170"/>
        <v>46447</v>
      </c>
      <c r="AH533" s="79">
        <f ca="1">IFERROR(INDEX('Core Inputs Interface'!$1:$1048576,MATCH($AE533,'Core Inputs Interface'!$H:$H,0),MATCH($AG533,'Core Inputs Interface'!$17:$17,0)),"")</f>
        <v>0</v>
      </c>
      <c r="AI533" s="55">
        <f t="shared" si="175"/>
        <v>0</v>
      </c>
      <c r="AJ533" s="55">
        <f t="shared" si="171"/>
        <v>0.45356302165418505</v>
      </c>
      <c r="AK533" s="55">
        <f t="shared" si="172"/>
        <v>0.6</v>
      </c>
      <c r="AL533" s="55">
        <f t="shared" ca="1" si="176"/>
        <v>0.1</v>
      </c>
      <c r="AM533" s="65">
        <f t="shared" ca="1" si="173"/>
        <v>0</v>
      </c>
      <c r="AN533" s="66">
        <f t="shared" ca="1" si="174"/>
        <v>0</v>
      </c>
      <c r="AO533" s="56">
        <f t="shared" ca="1" si="169"/>
        <v>0</v>
      </c>
      <c r="AP533" t="str">
        <f t="shared" si="164"/>
        <v>Office Equipment &amp; IT_46447</v>
      </c>
      <c r="AQ533" t="str">
        <f t="shared" si="165"/>
        <v>Diesel_46447</v>
      </c>
    </row>
    <row r="534" spans="30:43" ht="15.6" thickTop="1" thickBot="1">
      <c r="AE534" s="59" t="str">
        <f t="shared" si="166"/>
        <v>Office Equipment &amp; IT</v>
      </c>
      <c r="AF534" s="59" t="str">
        <f t="shared" si="168"/>
        <v>Vehicles</v>
      </c>
      <c r="AG534" s="60">
        <f t="shared" si="170"/>
        <v>46447</v>
      </c>
      <c r="AH534" s="79">
        <f ca="1">IFERROR(INDEX('Core Inputs Interface'!$1:$1048576,MATCH($AE534,'Core Inputs Interface'!$H:$H,0),MATCH($AG534,'Core Inputs Interface'!$17:$17,0)),"")</f>
        <v>0</v>
      </c>
      <c r="AI534" s="55">
        <f t="shared" si="175"/>
        <v>0</v>
      </c>
      <c r="AJ534" s="55">
        <f t="shared" si="171"/>
        <v>0.52451068102476561</v>
      </c>
      <c r="AK534" s="55">
        <f t="shared" si="172"/>
        <v>0.8</v>
      </c>
      <c r="AL534" s="55">
        <f t="shared" ca="1" si="176"/>
        <v>0.25</v>
      </c>
      <c r="AM534" s="65">
        <f t="shared" ca="1" si="173"/>
        <v>0</v>
      </c>
      <c r="AN534" s="66">
        <f t="shared" ca="1" si="174"/>
        <v>0</v>
      </c>
      <c r="AO534" s="56">
        <f t="shared" ca="1" si="169"/>
        <v>0</v>
      </c>
      <c r="AP534" t="str">
        <f t="shared" si="164"/>
        <v>Office Equipment &amp; IT_46447</v>
      </c>
      <c r="AQ534" t="str">
        <f t="shared" si="165"/>
        <v>Vehicles_46447</v>
      </c>
    </row>
    <row r="535" spans="30:43" ht="15.6" thickTop="1" thickBot="1">
      <c r="AE535" s="59" t="str">
        <f>AE534</f>
        <v>Office Equipment &amp; IT</v>
      </c>
      <c r="AF535" s="59" t="str">
        <f t="shared" ref="AF535:AF536" si="177">AF513</f>
        <v>Machinery &amp; Equipment</v>
      </c>
      <c r="AG535" s="60">
        <f>AG534</f>
        <v>46447</v>
      </c>
      <c r="AH535" s="79">
        <f ca="1">IFERROR(INDEX('Core Inputs Interface'!$1:$1048576,MATCH($AE535,'Core Inputs Interface'!$H:$H,0),MATCH($AG535,'Core Inputs Interface'!$17:$17,0)),"")</f>
        <v>0</v>
      </c>
      <c r="AI535" s="55">
        <f t="shared" si="175"/>
        <v>0</v>
      </c>
      <c r="AJ535" s="55">
        <f t="shared" si="171"/>
        <v>0.39238740022595126</v>
      </c>
      <c r="AK535" s="55">
        <f t="shared" si="172"/>
        <v>0.8</v>
      </c>
      <c r="AL535" s="55">
        <f t="shared" ca="1" si="176"/>
        <v>0.25</v>
      </c>
      <c r="AM535" s="65">
        <f t="shared" ca="1" si="173"/>
        <v>0</v>
      </c>
      <c r="AN535" s="66">
        <f t="shared" ca="1" si="174"/>
        <v>0</v>
      </c>
      <c r="AO535" s="56">
        <f ca="1">IFERROR(AM535/AN535,0)</f>
        <v>0</v>
      </c>
      <c r="AP535" t="str">
        <f>_xlfn.TEXTJOIN("_",,$AE535,$AG535)</f>
        <v>Office Equipment &amp; IT_46447</v>
      </c>
      <c r="AQ535" t="str">
        <f>_xlfn.TEXTJOIN("_",,$AF535,$AG535)</f>
        <v>Machinery &amp; Equipment_46447</v>
      </c>
    </row>
    <row r="536" spans="30:43" ht="15.6" thickTop="1" thickBot="1">
      <c r="AE536" s="59" t="str">
        <f>AE535</f>
        <v>Office Equipment &amp; IT</v>
      </c>
      <c r="AF536" s="59" t="str">
        <f t="shared" si="177"/>
        <v>Office Equipment &amp; IT</v>
      </c>
      <c r="AG536" s="60">
        <f>AG535</f>
        <v>46447</v>
      </c>
      <c r="AH536" s="79">
        <f ca="1">IFERROR(INDEX('Core Inputs Interface'!$1:$1048576,MATCH($AE536,'Core Inputs Interface'!$H:$H,0),MATCH($AG536,'Core Inputs Interface'!$17:$17,0)),"")</f>
        <v>0</v>
      </c>
      <c r="AI536" s="55">
        <f t="shared" si="175"/>
        <v>1</v>
      </c>
      <c r="AJ536" s="55">
        <f t="shared" si="171"/>
        <v>0.15</v>
      </c>
      <c r="AK536" s="55">
        <f t="shared" si="172"/>
        <v>0.8</v>
      </c>
      <c r="AL536" s="55">
        <f t="shared" ca="1" si="176"/>
        <v>0.25</v>
      </c>
      <c r="AM536" s="65">
        <f t="shared" ca="1" si="173"/>
        <v>0</v>
      </c>
      <c r="AN536" s="66">
        <f t="shared" ca="1" si="174"/>
        <v>0</v>
      </c>
      <c r="AO536" s="56">
        <f ca="1">IFERROR(AM536/AN536,0)</f>
        <v>0</v>
      </c>
      <c r="AP536" t="str">
        <f>_xlfn.TEXTJOIN("_",,$AE536,$AG536)</f>
        <v>Office Equipment &amp; IT_46447</v>
      </c>
      <c r="AQ536" t="str">
        <f>_xlfn.TEXTJOIN("_",,$AF536,$AG536)</f>
        <v>Office Equipment &amp; IT_46447</v>
      </c>
    </row>
    <row r="537" spans="30:43" ht="15" thickTop="1">
      <c r="AD537">
        <f>AD493+1</f>
        <v>13</v>
      </c>
      <c r="AE537" s="57" t="str" cm="1">
        <f t="array" aca="1" ref="AE537:AO550" ca="1">_xlfn.HSTACK(_xlfn.ANCHORARRAY(HZ9),_xlfn.ANCHORARRAY(IA9),_xlfn.ANCHORARRAY(IB9),_xlfn.ANCHORARRAY(IC9),_xlfn.ANCHORARRAY(ID9),_xlfn.ANCHORARRAY(IE9),_xlfn.ANCHORARRAY(IF9),_xlfn.ANCHORARRAY(IG9),_xlfn.ANCHORARRAY(IH9),_xlfn.ANCHORARRAY(II9),_xlfn.ANCHORARRAY(IJ9))</f>
        <v>New Fire Station on Main Street</v>
      </c>
      <c r="AF537" s="157" t="str">
        <f ca="1"/>
        <v>Firetrucks</v>
      </c>
      <c r="AG537" s="234">
        <f ca="1"/>
        <v>46082</v>
      </c>
      <c r="AH537" s="236">
        <f ca="1"/>
        <v>582</v>
      </c>
      <c r="AI537" s="235">
        <f ca="1"/>
        <v>0.11855670103092783</v>
      </c>
      <c r="AJ537" s="235">
        <f ca="1"/>
        <v>0.8</v>
      </c>
      <c r="AK537" s="235">
        <f ca="1"/>
        <v>0.8</v>
      </c>
      <c r="AL537" s="235">
        <f ca="1"/>
        <v>0.25</v>
      </c>
      <c r="AM537" s="236">
        <f ca="1"/>
        <v>11.040000000000001</v>
      </c>
      <c r="AN537" s="237">
        <f ca="1"/>
        <v>69</v>
      </c>
      <c r="AO537" s="238">
        <f ca="1"/>
        <v>0.16</v>
      </c>
      <c r="AP537" t="str">
        <f ca="1">_xlfn.TEXTJOIN("_",,$AE537,$AG537)</f>
        <v>New Fire Station on Main Street_46082</v>
      </c>
      <c r="AQ537" t="str">
        <f ca="1">_xlfn.TEXTJOIN("_",,$AF537,$AG537)</f>
        <v>Firetrucks_46082</v>
      </c>
    </row>
    <row r="538" spans="30:43">
      <c r="AE538" s="59" t="str">
        <f ca="1"/>
        <v>New Fire Station on Main Street</v>
      </c>
      <c r="AF538" s="157" t="str">
        <f ca="1"/>
        <v>Electrical Equipment</v>
      </c>
      <c r="AG538" s="234">
        <f ca="1"/>
        <v>46082</v>
      </c>
      <c r="AH538" s="236">
        <f ca="1"/>
        <v>582</v>
      </c>
      <c r="AI538" s="235">
        <f ca="1"/>
        <v>0.14948453608247422</v>
      </c>
      <c r="AJ538" s="235">
        <f ca="1"/>
        <v>0.48556692694591386</v>
      </c>
      <c r="AK538" s="235">
        <f ca="1"/>
        <v>0.8</v>
      </c>
      <c r="AL538" s="235">
        <f ca="1"/>
        <v>0.25</v>
      </c>
      <c r="AM538" s="236">
        <f ca="1"/>
        <v>8.4488645288589019</v>
      </c>
      <c r="AN538" s="237">
        <f ca="1"/>
        <v>87</v>
      </c>
      <c r="AO538" s="238">
        <f ca="1"/>
        <v>9.711338538918278E-2</v>
      </c>
      <c r="AP538" t="str">
        <f t="shared" ref="AP538:AP578" ca="1" si="178">_xlfn.TEXTJOIN("_",,$AE538,$AG538)</f>
        <v>New Fire Station on Main Street_46082</v>
      </c>
      <c r="AQ538" t="str">
        <f t="shared" ref="AQ538:AQ578" ca="1" si="179">_xlfn.TEXTJOIN("_",,$AF538,$AG538)</f>
        <v>Electrical Equipment_46082</v>
      </c>
    </row>
    <row r="539" spans="30:43">
      <c r="AE539" s="59" t="str">
        <f ca="1"/>
        <v>New Fire Station on Main Street</v>
      </c>
      <c r="AF539" s="157" t="str">
        <f ca="1"/>
        <v>Structural steel</v>
      </c>
      <c r="AG539" s="234">
        <f ca="1"/>
        <v>46082</v>
      </c>
      <c r="AH539" s="236">
        <f ca="1"/>
        <v>582</v>
      </c>
      <c r="AI539" s="235">
        <f ca="1"/>
        <v>0.11855670103092783</v>
      </c>
      <c r="AJ539" s="235">
        <f ca="1"/>
        <v>0.52500514810102583</v>
      </c>
      <c r="AK539" s="235">
        <f ca="1"/>
        <v>0.6</v>
      </c>
      <c r="AL539" s="235">
        <f ca="1"/>
        <v>0.25</v>
      </c>
      <c r="AM539" s="236">
        <f ca="1"/>
        <v>5.4338032828456173</v>
      </c>
      <c r="AN539" s="237">
        <f ca="1"/>
        <v>69</v>
      </c>
      <c r="AO539" s="238">
        <f ca="1"/>
        <v>7.8750772215153877E-2</v>
      </c>
      <c r="AP539" t="str">
        <f t="shared" ca="1" si="178"/>
        <v>New Fire Station on Main Street_46082</v>
      </c>
      <c r="AQ539" t="str">
        <f t="shared" ca="1" si="179"/>
        <v>Structural steel_46082</v>
      </c>
    </row>
    <row r="540" spans="30:43">
      <c r="AE540" s="59" t="str">
        <f ca="1"/>
        <v>New Fire Station on Main Street</v>
      </c>
      <c r="AF540" s="157" t="str">
        <f ca="1"/>
        <v>Plant and equipment</v>
      </c>
      <c r="AG540" s="234">
        <f ca="1"/>
        <v>46082</v>
      </c>
      <c r="AH540" s="236">
        <f ca="1"/>
        <v>582</v>
      </c>
      <c r="AI540" s="235">
        <f ca="1"/>
        <v>0.12542955326460481</v>
      </c>
      <c r="AJ540" s="235">
        <f ca="1"/>
        <v>0.31546495432215926</v>
      </c>
      <c r="AK540" s="235">
        <f ca="1"/>
        <v>0.8</v>
      </c>
      <c r="AL540" s="235">
        <f ca="1"/>
        <v>0.25</v>
      </c>
      <c r="AM540" s="236">
        <f ca="1"/>
        <v>4.6057883331035248</v>
      </c>
      <c r="AN540" s="237">
        <f ca="1"/>
        <v>73</v>
      </c>
      <c r="AO540" s="238">
        <f ca="1"/>
        <v>6.3092990864431847E-2</v>
      </c>
      <c r="AP540" t="str">
        <f t="shared" ca="1" si="178"/>
        <v>New Fire Station on Main Street_46082</v>
      </c>
      <c r="AQ540" t="str">
        <f t="shared" ca="1" si="179"/>
        <v>Plant and equipment_46082</v>
      </c>
    </row>
    <row r="541" spans="30:43">
      <c r="AE541" s="59" t="str">
        <f ca="1"/>
        <v>New Fire Station on Main Street</v>
      </c>
      <c r="AF541" s="157" t="str">
        <f ca="1"/>
        <v>Diesel</v>
      </c>
      <c r="AG541" s="234">
        <f ca="1"/>
        <v>46082</v>
      </c>
      <c r="AH541" s="236">
        <f ca="1"/>
        <v>582</v>
      </c>
      <c r="AI541" s="235">
        <f ca="1"/>
        <v>0.16151202749140894</v>
      </c>
      <c r="AJ541" s="235">
        <f ca="1"/>
        <v>0.45356302165418505</v>
      </c>
      <c r="AK541" s="235">
        <f ca="1"/>
        <v>0.6</v>
      </c>
      <c r="AL541" s="235">
        <f ca="1"/>
        <v>0.1</v>
      </c>
      <c r="AM541" s="236">
        <f ca="1"/>
        <v>2.5580954421296038</v>
      </c>
      <c r="AN541" s="237">
        <f ca="1"/>
        <v>94</v>
      </c>
      <c r="AO541" s="238">
        <f ca="1"/>
        <v>2.7213781299251106E-2</v>
      </c>
      <c r="AP541" t="str">
        <f t="shared" ca="1" si="178"/>
        <v>New Fire Station on Main Street_46082</v>
      </c>
      <c r="AQ541" t="str">
        <f t="shared" ca="1" si="179"/>
        <v>Diesel_46082</v>
      </c>
    </row>
    <row r="542" spans="30:43">
      <c r="AE542" s="59" t="str">
        <f ca="1"/>
        <v>New Fire Station on Main Street</v>
      </c>
      <c r="AF542" s="157" t="str">
        <f ca="1"/>
        <v>Concrete</v>
      </c>
      <c r="AG542" s="234">
        <f ca="1"/>
        <v>46082</v>
      </c>
      <c r="AH542" s="236">
        <f ca="1"/>
        <v>582</v>
      </c>
      <c r="AI542" s="235">
        <f ca="1"/>
        <v>0.1563573883161512</v>
      </c>
      <c r="AJ542" s="235">
        <f ca="1"/>
        <v>1.1472584695084088E-2</v>
      </c>
      <c r="AK542" s="235">
        <f ca="1"/>
        <v>0.6</v>
      </c>
      <c r="AL542" s="235">
        <f ca="1"/>
        <v>0.25</v>
      </c>
      <c r="AM542" s="236">
        <f ca="1"/>
        <v>0.15660078108789779</v>
      </c>
      <c r="AN542" s="237">
        <f ca="1"/>
        <v>91</v>
      </c>
      <c r="AO542" s="238">
        <f ca="1"/>
        <v>1.7208877042626132E-3</v>
      </c>
      <c r="AP542" t="str">
        <f t="shared" ca="1" si="178"/>
        <v>New Fire Station on Main Street_46082</v>
      </c>
      <c r="AQ542" t="str">
        <f t="shared" ca="1" si="179"/>
        <v>Concrete_46082</v>
      </c>
    </row>
    <row r="543" spans="30:43">
      <c r="AE543" s="59" t="str">
        <f ca="1"/>
        <v>New Fire Station on Main Street</v>
      </c>
      <c r="AF543" s="157" t="str">
        <f ca="1"/>
        <v>Labour</v>
      </c>
      <c r="AG543" s="234">
        <f ca="1"/>
        <v>46082</v>
      </c>
      <c r="AH543" s="236">
        <f ca="1"/>
        <v>582</v>
      </c>
      <c r="AI543" s="235">
        <f ca="1"/>
        <v>0.17010309278350516</v>
      </c>
      <c r="AJ543" s="235" t="str">
        <f ca="1"/>
        <v>N/A</v>
      </c>
      <c r="AK543" s="235" t="str">
        <f ca="1"/>
        <v>N/A</v>
      </c>
      <c r="AL543" s="235" t="str">
        <f ca="1"/>
        <v>N/A</v>
      </c>
      <c r="AM543" s="236">
        <f ca="1"/>
        <v>0</v>
      </c>
      <c r="AN543" s="237">
        <f ca="1"/>
        <v>99</v>
      </c>
      <c r="AO543" s="238">
        <f ca="1"/>
        <v>0</v>
      </c>
      <c r="AP543" t="str">
        <f t="shared" ca="1" si="178"/>
        <v>New Fire Station on Main Street_46082</v>
      </c>
      <c r="AQ543" t="str">
        <f t="shared" ca="1" si="179"/>
        <v>Labour_46082</v>
      </c>
    </row>
    <row r="544" spans="30:43">
      <c r="AE544" s="59" t="str">
        <f ca="1"/>
        <v>New Fire Station on Main Street</v>
      </c>
      <c r="AF544" s="157" t="str">
        <f ca="1"/>
        <v>Firetrucks</v>
      </c>
      <c r="AG544" s="234">
        <f ca="1"/>
        <v>46447</v>
      </c>
      <c r="AH544" s="236">
        <f ca="1"/>
        <v>587</v>
      </c>
      <c r="AI544" s="235">
        <f ca="1"/>
        <v>0.15843270868824533</v>
      </c>
      <c r="AJ544" s="235">
        <f ca="1"/>
        <v>0.8</v>
      </c>
      <c r="AK544" s="235">
        <f ca="1"/>
        <v>0.8</v>
      </c>
      <c r="AL544" s="235">
        <f ca="1"/>
        <v>0.25</v>
      </c>
      <c r="AM544" s="236">
        <f ca="1"/>
        <v>14.880000000000003</v>
      </c>
      <c r="AN544" s="237">
        <f ca="1"/>
        <v>93</v>
      </c>
      <c r="AO544" s="238">
        <f ca="1"/>
        <v>0.16000000000000003</v>
      </c>
      <c r="AP544" t="str">
        <f t="shared" ca="1" si="178"/>
        <v>New Fire Station on Main Street_46447</v>
      </c>
      <c r="AQ544" t="str">
        <f t="shared" ca="1" si="179"/>
        <v>Firetrucks_46447</v>
      </c>
    </row>
    <row r="545" spans="31:43">
      <c r="AE545" s="59" t="str">
        <f ca="1"/>
        <v>New Fire Station on Main Street</v>
      </c>
      <c r="AF545" s="157" t="str">
        <f ca="1"/>
        <v>Electrical Equipment</v>
      </c>
      <c r="AG545" s="234">
        <f ca="1"/>
        <v>46447</v>
      </c>
      <c r="AH545" s="236">
        <f ca="1"/>
        <v>587</v>
      </c>
      <c r="AI545" s="235">
        <f ca="1"/>
        <v>0.12947189097103917</v>
      </c>
      <c r="AJ545" s="235">
        <f ca="1"/>
        <v>0.48556692694591386</v>
      </c>
      <c r="AK545" s="235">
        <f ca="1"/>
        <v>0.8</v>
      </c>
      <c r="AL545" s="235">
        <f ca="1"/>
        <v>0.25</v>
      </c>
      <c r="AM545" s="236">
        <f ca="1"/>
        <v>7.3806172895778905</v>
      </c>
      <c r="AN545" s="237">
        <f ca="1"/>
        <v>76</v>
      </c>
      <c r="AO545" s="238">
        <f ca="1"/>
        <v>9.7113385389182766E-2</v>
      </c>
      <c r="AP545" t="str">
        <f t="shared" ca="1" si="178"/>
        <v>New Fire Station on Main Street_46447</v>
      </c>
      <c r="AQ545" t="str">
        <f t="shared" ca="1" si="179"/>
        <v>Electrical Equipment_46447</v>
      </c>
    </row>
    <row r="546" spans="31:43">
      <c r="AE546" s="59" t="str">
        <f ca="1"/>
        <v>New Fire Station on Main Street</v>
      </c>
      <c r="AF546" s="157" t="str">
        <f ca="1"/>
        <v>Structural steel</v>
      </c>
      <c r="AG546" s="234">
        <f ca="1"/>
        <v>46447</v>
      </c>
      <c r="AH546" s="236">
        <f ca="1"/>
        <v>587</v>
      </c>
      <c r="AI546" s="235">
        <f ca="1"/>
        <v>0.15332197614991483</v>
      </c>
      <c r="AJ546" s="235">
        <f ca="1"/>
        <v>0.52500514810102583</v>
      </c>
      <c r="AK546" s="235">
        <f ca="1"/>
        <v>0.6</v>
      </c>
      <c r="AL546" s="235">
        <f ca="1"/>
        <v>0.25</v>
      </c>
      <c r="AM546" s="236">
        <f ca="1"/>
        <v>7.0875694993638492</v>
      </c>
      <c r="AN546" s="237">
        <f ca="1"/>
        <v>90</v>
      </c>
      <c r="AO546" s="238">
        <f ca="1"/>
        <v>7.8750772215153877E-2</v>
      </c>
      <c r="AP546" t="str">
        <f t="shared" ca="1" si="178"/>
        <v>New Fire Station on Main Street_46447</v>
      </c>
      <c r="AQ546" t="str">
        <f t="shared" ca="1" si="179"/>
        <v>Structural steel_46447</v>
      </c>
    </row>
    <row r="547" spans="31:43">
      <c r="AE547" s="59" t="str">
        <f ca="1"/>
        <v>New Fire Station on Main Street</v>
      </c>
      <c r="AF547" s="157" t="str">
        <f ca="1"/>
        <v>Plant and equipment</v>
      </c>
      <c r="AG547" s="234">
        <f ca="1"/>
        <v>46447</v>
      </c>
      <c r="AH547" s="236">
        <f ca="1"/>
        <v>587</v>
      </c>
      <c r="AI547" s="235">
        <f ca="1"/>
        <v>8.6882453151618397E-2</v>
      </c>
      <c r="AJ547" s="235">
        <f ca="1"/>
        <v>0.31546495432215926</v>
      </c>
      <c r="AK547" s="235">
        <f ca="1"/>
        <v>0.8</v>
      </c>
      <c r="AL547" s="235">
        <f ca="1"/>
        <v>0.25</v>
      </c>
      <c r="AM547" s="236">
        <f ca="1"/>
        <v>3.2177425340860246</v>
      </c>
      <c r="AN547" s="237">
        <f ca="1"/>
        <v>51</v>
      </c>
      <c r="AO547" s="238">
        <f ca="1"/>
        <v>6.3092990864431861E-2</v>
      </c>
      <c r="AP547" t="str">
        <f t="shared" ca="1" si="178"/>
        <v>New Fire Station on Main Street_46447</v>
      </c>
      <c r="AQ547" t="str">
        <f t="shared" ca="1" si="179"/>
        <v>Plant and equipment_46447</v>
      </c>
    </row>
    <row r="548" spans="31:43">
      <c r="AE548" s="59" t="str">
        <f ca="1"/>
        <v>New Fire Station on Main Street</v>
      </c>
      <c r="AF548" s="157" t="str">
        <f ca="1"/>
        <v>Diesel</v>
      </c>
      <c r="AG548" s="234">
        <f ca="1"/>
        <v>46447</v>
      </c>
      <c r="AH548" s="236">
        <f ca="1"/>
        <v>587</v>
      </c>
      <c r="AI548" s="235">
        <f ca="1"/>
        <v>0.15502555366269166</v>
      </c>
      <c r="AJ548" s="235">
        <f ca="1"/>
        <v>0.45356302165418505</v>
      </c>
      <c r="AK548" s="235">
        <f ca="1"/>
        <v>0.6</v>
      </c>
      <c r="AL548" s="235">
        <f ca="1"/>
        <v>0.1</v>
      </c>
      <c r="AM548" s="236">
        <f ca="1"/>
        <v>2.4764540982318506</v>
      </c>
      <c r="AN548" s="237">
        <f ca="1"/>
        <v>91</v>
      </c>
      <c r="AO548" s="238">
        <f ca="1"/>
        <v>2.7213781299251106E-2</v>
      </c>
      <c r="AP548" t="str">
        <f t="shared" ca="1" si="178"/>
        <v>New Fire Station on Main Street_46447</v>
      </c>
      <c r="AQ548" t="str">
        <f t="shared" ca="1" si="179"/>
        <v>Diesel_46447</v>
      </c>
    </row>
    <row r="549" spans="31:43">
      <c r="AE549" s="59" t="str">
        <f ca="1"/>
        <v>New Fire Station on Main Street</v>
      </c>
      <c r="AF549" s="157" t="str">
        <f ca="1"/>
        <v>Concrete</v>
      </c>
      <c r="AG549" s="234">
        <f ca="1"/>
        <v>46447</v>
      </c>
      <c r="AH549" s="236">
        <f ca="1"/>
        <v>587</v>
      </c>
      <c r="AI549" s="235">
        <f ca="1"/>
        <v>0.15672913117546849</v>
      </c>
      <c r="AJ549" s="235">
        <f ca="1"/>
        <v>1.1472584695084088E-2</v>
      </c>
      <c r="AK549" s="235">
        <f ca="1"/>
        <v>0.6</v>
      </c>
      <c r="AL549" s="235">
        <f ca="1"/>
        <v>0.25</v>
      </c>
      <c r="AM549" s="236">
        <f ca="1"/>
        <v>0.15832166879216039</v>
      </c>
      <c r="AN549" s="237">
        <f ca="1"/>
        <v>92</v>
      </c>
      <c r="AO549" s="238">
        <f ca="1"/>
        <v>1.720887704262613E-3</v>
      </c>
      <c r="AP549" t="str">
        <f t="shared" ca="1" si="178"/>
        <v>New Fire Station on Main Street_46447</v>
      </c>
      <c r="AQ549" t="str">
        <f t="shared" ca="1" si="179"/>
        <v>Concrete_46447</v>
      </c>
    </row>
    <row r="550" spans="31:43">
      <c r="AE550" s="59" t="str">
        <f ca="1"/>
        <v>New Fire Station on Main Street</v>
      </c>
      <c r="AF550" s="157" t="str">
        <f ca="1"/>
        <v>Labour</v>
      </c>
      <c r="AG550" s="234">
        <f ca="1"/>
        <v>46447</v>
      </c>
      <c r="AH550" s="236">
        <f ca="1"/>
        <v>587</v>
      </c>
      <c r="AI550" s="235">
        <f ca="1"/>
        <v>0.16013628620102216</v>
      </c>
      <c r="AJ550" s="235" t="str">
        <f ca="1"/>
        <v>N/A</v>
      </c>
      <c r="AK550" s="235" t="str">
        <f ca="1"/>
        <v>N/A</v>
      </c>
      <c r="AL550" s="235" t="str">
        <f ca="1"/>
        <v>N/A</v>
      </c>
      <c r="AM550" s="236">
        <f ca="1"/>
        <v>0</v>
      </c>
      <c r="AN550" s="237">
        <f ca="1"/>
        <v>94</v>
      </c>
      <c r="AO550" s="238">
        <f ca="1"/>
        <v>0</v>
      </c>
      <c r="AP550" t="str">
        <f t="shared" ca="1" si="178"/>
        <v>New Fire Station on Main Street_46447</v>
      </c>
      <c r="AQ550" t="str">
        <f t="shared" ca="1" si="179"/>
        <v>Labour_46447</v>
      </c>
    </row>
    <row r="551" spans="31:43">
      <c r="AP551" t="str">
        <f t="shared" si="178"/>
        <v/>
      </c>
      <c r="AQ551" t="str">
        <f t="shared" si="179"/>
        <v/>
      </c>
    </row>
    <row r="552" spans="31:43">
      <c r="AP552" t="str">
        <f t="shared" si="178"/>
        <v/>
      </c>
      <c r="AQ552" t="str">
        <f t="shared" si="179"/>
        <v/>
      </c>
    </row>
    <row r="553" spans="31:43">
      <c r="AP553" t="str">
        <f t="shared" si="178"/>
        <v/>
      </c>
      <c r="AQ553" t="str">
        <f t="shared" si="179"/>
        <v/>
      </c>
    </row>
    <row r="554" spans="31:43">
      <c r="AP554" t="str">
        <f t="shared" si="178"/>
        <v/>
      </c>
      <c r="AQ554" t="str">
        <f t="shared" si="179"/>
        <v/>
      </c>
    </row>
    <row r="555" spans="31:43">
      <c r="AP555" t="str">
        <f t="shared" si="178"/>
        <v/>
      </c>
      <c r="AQ555" t="str">
        <f t="shared" si="179"/>
        <v/>
      </c>
    </row>
    <row r="556" spans="31:43">
      <c r="AP556" t="str">
        <f t="shared" si="178"/>
        <v/>
      </c>
      <c r="AQ556" t="str">
        <f t="shared" si="179"/>
        <v/>
      </c>
    </row>
    <row r="557" spans="31:43">
      <c r="AP557" t="str">
        <f>_xlfn.TEXTJOIN("_",,$AE557,$AG557)</f>
        <v/>
      </c>
      <c r="AQ557" t="str">
        <f>_xlfn.TEXTJOIN("_",,$AF557,$AG557)</f>
        <v/>
      </c>
    </row>
    <row r="558" spans="31:43">
      <c r="AP558" t="str">
        <f>_xlfn.TEXTJOIN("_",,$AE558,$AG558)</f>
        <v/>
      </c>
      <c r="AQ558" t="str">
        <f>_xlfn.TEXTJOIN("_",,$AF558,$AG558)</f>
        <v/>
      </c>
    </row>
    <row r="559" spans="31:43">
      <c r="AP559" t="str">
        <f t="shared" si="178"/>
        <v/>
      </c>
      <c r="AQ559" t="str">
        <f t="shared" si="179"/>
        <v/>
      </c>
    </row>
    <row r="560" spans="31:43">
      <c r="AP560" t="str">
        <f t="shared" si="178"/>
        <v/>
      </c>
      <c r="AQ560" t="str">
        <f t="shared" si="179"/>
        <v/>
      </c>
    </row>
    <row r="561" spans="42:43">
      <c r="AP561" t="str">
        <f t="shared" si="178"/>
        <v/>
      </c>
      <c r="AQ561" t="str">
        <f t="shared" si="179"/>
        <v/>
      </c>
    </row>
    <row r="562" spans="42:43">
      <c r="AP562" t="str">
        <f t="shared" si="178"/>
        <v/>
      </c>
      <c r="AQ562" t="str">
        <f t="shared" si="179"/>
        <v/>
      </c>
    </row>
    <row r="563" spans="42:43">
      <c r="AP563" t="str">
        <f t="shared" si="178"/>
        <v/>
      </c>
      <c r="AQ563" t="str">
        <f t="shared" si="179"/>
        <v/>
      </c>
    </row>
    <row r="564" spans="42:43">
      <c r="AP564" t="str">
        <f t="shared" si="178"/>
        <v/>
      </c>
      <c r="AQ564" t="str">
        <f t="shared" si="179"/>
        <v/>
      </c>
    </row>
    <row r="565" spans="42:43">
      <c r="AP565" t="str">
        <f t="shared" si="178"/>
        <v/>
      </c>
      <c r="AQ565" t="str">
        <f t="shared" si="179"/>
        <v/>
      </c>
    </row>
    <row r="566" spans="42:43">
      <c r="AP566" t="str">
        <f t="shared" si="178"/>
        <v/>
      </c>
      <c r="AQ566" t="str">
        <f t="shared" si="179"/>
        <v/>
      </c>
    </row>
    <row r="567" spans="42:43">
      <c r="AP567" t="str">
        <f t="shared" si="178"/>
        <v/>
      </c>
      <c r="AQ567" t="str">
        <f t="shared" si="179"/>
        <v/>
      </c>
    </row>
    <row r="568" spans="42:43">
      <c r="AP568" t="str">
        <f t="shared" si="178"/>
        <v/>
      </c>
      <c r="AQ568" t="str">
        <f t="shared" si="179"/>
        <v/>
      </c>
    </row>
    <row r="569" spans="42:43">
      <c r="AP569" t="str">
        <f t="shared" si="178"/>
        <v/>
      </c>
      <c r="AQ569" t="str">
        <f t="shared" si="179"/>
        <v/>
      </c>
    </row>
    <row r="570" spans="42:43">
      <c r="AP570" t="str">
        <f t="shared" si="178"/>
        <v/>
      </c>
      <c r="AQ570" t="str">
        <f t="shared" si="179"/>
        <v/>
      </c>
    </row>
    <row r="571" spans="42:43">
      <c r="AP571" t="str">
        <f t="shared" si="178"/>
        <v/>
      </c>
      <c r="AQ571" t="str">
        <f t="shared" si="179"/>
        <v/>
      </c>
    </row>
    <row r="572" spans="42:43">
      <c r="AP572" t="str">
        <f t="shared" si="178"/>
        <v/>
      </c>
      <c r="AQ572" t="str">
        <f t="shared" si="179"/>
        <v/>
      </c>
    </row>
    <row r="573" spans="42:43">
      <c r="AP573" t="str">
        <f t="shared" si="178"/>
        <v/>
      </c>
      <c r="AQ573" t="str">
        <f t="shared" si="179"/>
        <v/>
      </c>
    </row>
    <row r="574" spans="42:43">
      <c r="AP574" t="str">
        <f t="shared" si="178"/>
        <v/>
      </c>
      <c r="AQ574" t="str">
        <f t="shared" si="179"/>
        <v/>
      </c>
    </row>
    <row r="575" spans="42:43">
      <c r="AP575" t="str">
        <f t="shared" si="178"/>
        <v/>
      </c>
      <c r="AQ575" t="str">
        <f t="shared" si="179"/>
        <v/>
      </c>
    </row>
    <row r="576" spans="42:43">
      <c r="AP576" t="str">
        <f t="shared" si="178"/>
        <v/>
      </c>
      <c r="AQ576" t="str">
        <f t="shared" si="179"/>
        <v/>
      </c>
    </row>
    <row r="577" spans="42:43">
      <c r="AP577" t="str">
        <f t="shared" si="178"/>
        <v/>
      </c>
      <c r="AQ577" t="str">
        <f t="shared" si="179"/>
        <v/>
      </c>
    </row>
    <row r="578" spans="42:43">
      <c r="AP578" t="str">
        <f t="shared" si="178"/>
        <v/>
      </c>
      <c r="AQ578" t="str">
        <f t="shared" si="179"/>
        <v/>
      </c>
    </row>
    <row r="579" spans="42:43">
      <c r="AP579" t="str">
        <f>_xlfn.TEXTJOIN("_",,$AE579,$AG579)</f>
        <v/>
      </c>
      <c r="AQ579" t="str">
        <f>_xlfn.TEXTJOIN("_",,$AF579,$AG579)</f>
        <v/>
      </c>
    </row>
    <row r="580" spans="42:43">
      <c r="AP580" t="str">
        <f>_xlfn.TEXTJOIN("_",,$AE580,$AG580)</f>
        <v/>
      </c>
      <c r="AQ580" t="str">
        <f>_xlfn.TEXTJOIN("_",,$AF580,$AG580)</f>
        <v/>
      </c>
    </row>
  </sheetData>
  <mergeCells count="27">
    <mergeCell ref="C7:C81"/>
    <mergeCell ref="AC7:AC81"/>
    <mergeCell ref="DO7:DO81"/>
    <mergeCell ref="EG7:EG81"/>
    <mergeCell ref="FL7:FL81"/>
    <mergeCell ref="AS7:AS81"/>
    <mergeCell ref="Z8:AA8"/>
    <mergeCell ref="W8:W20"/>
    <mergeCell ref="D8:D20"/>
    <mergeCell ref="S8:S20"/>
    <mergeCell ref="FG9:FH9"/>
    <mergeCell ref="FI9:FJ9"/>
    <mergeCell ref="FE9:FF9"/>
    <mergeCell ref="FC9:FD9"/>
    <mergeCell ref="Z7:AA7"/>
    <mergeCell ref="DS24:DT24"/>
    <mergeCell ref="FW7:FW81"/>
    <mergeCell ref="GC7:GC81"/>
    <mergeCell ref="GZ7:GZ81"/>
    <mergeCell ref="HN7:HN81"/>
    <mergeCell ref="HY7:HY81"/>
    <mergeCell ref="HK8:HL8"/>
    <mergeCell ref="HE8:HF8"/>
    <mergeCell ref="HG8:HH8"/>
    <mergeCell ref="HI8:HJ8"/>
    <mergeCell ref="GF9:GG9"/>
    <mergeCell ref="GH9:GI9"/>
  </mergeCells>
  <phoneticPr fontId="31" type="noConversion"/>
  <conditionalFormatting sqref="B4">
    <cfRule type="duplicateValues" dxfId="0" priority="1"/>
  </conditionalFormatting>
  <pageMargins left="0.7" right="0.7" top="0.75" bottom="0.75" header="0.3" footer="0.3"/>
  <pageSetup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A5115-19C3-48A2-B92F-E393D8F47159}">
  <sheetPr codeName="Sheet2">
    <tabColor theme="1"/>
  </sheetPr>
  <dimension ref="A1:E2"/>
  <sheetViews>
    <sheetView workbookViewId="0"/>
  </sheetViews>
  <sheetFormatPr defaultColWidth="7.6640625" defaultRowHeight="13.8"/>
  <cols>
    <col min="1" max="16384" width="7.6640625" style="9"/>
  </cols>
  <sheetData>
    <row r="1" spans="1:5">
      <c r="A1" s="8" t="s">
        <v>15</v>
      </c>
    </row>
    <row r="2" spans="1:5" ht="14.4">
      <c r="A2" s="10" t="str" cm="1">
        <f t="array" aca="1" ref="A2" ca="1" xml:space="preserve"> HYPERLINK("#'" &amp; _xlfn.TEXTAFTER(CELL("filename",'Home Page'!$A$1),"]") &amp; "'!A1","Back to Home Page")</f>
        <v>Back to Home Page</v>
      </c>
      <c r="D2" s="246" t="str" cm="1">
        <f t="array" aca="1" ref="D2" ca="1">_xlfn.TEXTAFTER(CELL("filename",'Home Page'!$A$1),"]")</f>
        <v>Home Page</v>
      </c>
      <c r="E2" s="247"/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9DF26-D7C1-4473-9ACC-380220691ABB}">
  <sheetPr codeName="Sheet3"/>
  <dimension ref="B1:W43"/>
  <sheetViews>
    <sheetView showGridLines="0" zoomScaleNormal="100" workbookViewId="0">
      <selection activeCell="H31" sqref="H31"/>
    </sheetView>
  </sheetViews>
  <sheetFormatPr defaultColWidth="9.109375" defaultRowHeight="14.4"/>
  <cols>
    <col min="1" max="1" width="1.6640625" customWidth="1"/>
    <col min="2" max="2" width="14.6640625" customWidth="1"/>
    <col min="3" max="3" width="40.44140625" bestFit="1" customWidth="1"/>
    <col min="4" max="5" width="19" customWidth="1"/>
    <col min="6" max="6" width="10.6640625" customWidth="1"/>
    <col min="7" max="7" width="7.33203125" bestFit="1" customWidth="1"/>
    <col min="8" max="8" width="59" customWidth="1"/>
    <col min="9" max="10" width="13" customWidth="1"/>
    <col min="11" max="16383" width="9.109375" customWidth="1"/>
  </cols>
  <sheetData>
    <row r="1" spans="2:23" ht="36.6">
      <c r="B1" s="25" t="str" cm="1">
        <f t="array" aca="1" ref="B1" ca="1">_xlfn.TEXTAFTER(CELL("filename",B1),"]")</f>
        <v>Core Inputs Interface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</row>
    <row r="2" spans="2:23" ht="15.6">
      <c r="B2" s="26" t="s">
        <v>16</v>
      </c>
      <c r="C2" s="12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2:23">
      <c r="B3" s="13"/>
      <c r="C3" s="12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2:23">
      <c r="B4" s="14" t="str" cm="1">
        <f t="array" aca="1" ref="B4" ca="1" xml:space="preserve"> HYPERLINK("#'" &amp; _xlfn.TEXTAFTER(CELL("filename",'Home Page'!$A$1),"]") &amp; "'!A1","Back to Home Page")</f>
        <v>Back to Home Page</v>
      </c>
      <c r="C4" s="12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</row>
    <row r="5" spans="2:23">
      <c r="B5" s="13"/>
      <c r="C5" s="12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</row>
    <row r="7" spans="2:23">
      <c r="B7" s="23" t="s">
        <v>17</v>
      </c>
      <c r="C7" s="182" t="s">
        <v>18</v>
      </c>
    </row>
    <row r="8" spans="2:23">
      <c r="B8" s="23" t="s">
        <v>19</v>
      </c>
      <c r="C8" s="182" t="s">
        <v>11</v>
      </c>
    </row>
    <row r="9" spans="2:23">
      <c r="B9" s="23" t="s">
        <v>20</v>
      </c>
      <c r="C9" s="183">
        <f ca="1">TODAY()</f>
        <v>45790</v>
      </c>
    </row>
    <row r="11" spans="2:23" ht="18.75" customHeight="1">
      <c r="B11" s="177" t="s">
        <v>21</v>
      </c>
      <c r="C11" s="271" t="s">
        <v>139</v>
      </c>
      <c r="D11" s="271"/>
      <c r="E11" s="271"/>
      <c r="F11" s="46"/>
      <c r="G11" s="177" t="s">
        <v>22</v>
      </c>
      <c r="H11" s="271" t="s">
        <v>140</v>
      </c>
      <c r="I11" s="271"/>
      <c r="J11" s="271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</row>
    <row r="12" spans="2:23" ht="18">
      <c r="B12" s="46"/>
      <c r="C12" s="271"/>
      <c r="D12" s="271"/>
      <c r="E12" s="271"/>
      <c r="F12" s="46"/>
      <c r="G12" s="46"/>
      <c r="H12" s="271"/>
      <c r="I12" s="271"/>
      <c r="J12" s="271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</row>
    <row r="13" spans="2:23" ht="15" customHeight="1">
      <c r="C13" s="16"/>
      <c r="D13" s="16"/>
      <c r="E13" s="16"/>
      <c r="I13" s="195"/>
      <c r="J13" s="195"/>
      <c r="L13" s="22"/>
      <c r="M13" s="22"/>
      <c r="N13" s="22"/>
      <c r="O13" s="22"/>
      <c r="P13" s="22"/>
    </row>
    <row r="14" spans="2:23" ht="15" customHeight="1">
      <c r="C14" s="20" t="s">
        <v>23</v>
      </c>
      <c r="D14" s="21" t="s">
        <v>24</v>
      </c>
      <c r="E14" s="21" t="s">
        <v>25</v>
      </c>
      <c r="G14" s="187" t="str" cm="1">
        <f t="array" aca="1" ref="G14" ca="1">_xlfn.TEXTAFTER(CELL("filename",'Optional Project-Level Input'!$B$1),"]")</f>
        <v>Optional Project-Level Input</v>
      </c>
      <c r="H14" s="272" t="str">
        <f ca="1">HYPERLINK("#'" &amp; G14 &amp; "'!A1","Additionally, if you'd like to customize project-level details, explore the Optional Project-Level Input.")</f>
        <v>Additionally, if you'd like to customize project-level details, explore the Optional Project-Level Input.</v>
      </c>
      <c r="I14" s="196"/>
      <c r="J14" s="196"/>
      <c r="L14" s="22"/>
      <c r="M14" s="22"/>
      <c r="N14" s="22"/>
      <c r="O14" s="22"/>
      <c r="P14" s="22"/>
    </row>
    <row r="15" spans="2:23" ht="15.75" customHeight="1">
      <c r="C15" s="192" t="s">
        <v>26</v>
      </c>
      <c r="D15" s="24">
        <v>0.25</v>
      </c>
      <c r="E15" s="24">
        <v>0.25</v>
      </c>
      <c r="H15" s="273"/>
      <c r="I15" s="196"/>
      <c r="J15" s="196"/>
      <c r="L15" s="22"/>
      <c r="M15" s="22"/>
      <c r="N15" s="22"/>
      <c r="O15" s="22"/>
      <c r="P15" s="22"/>
    </row>
    <row r="16" spans="2:23" ht="15.6">
      <c r="C16" s="192" t="s">
        <v>27</v>
      </c>
      <c r="D16" s="24">
        <v>0.25</v>
      </c>
      <c r="E16" s="24">
        <v>0.25</v>
      </c>
      <c r="L16" s="22"/>
      <c r="M16" s="22"/>
      <c r="N16" s="22"/>
      <c r="O16" s="22"/>
      <c r="P16" s="22"/>
    </row>
    <row r="17" spans="3:17" ht="15.6">
      <c r="C17" s="192" t="s">
        <v>28</v>
      </c>
      <c r="D17" s="24">
        <v>0.25</v>
      </c>
      <c r="E17" s="24">
        <v>0.25</v>
      </c>
      <c r="H17" s="20" t="s">
        <v>29</v>
      </c>
      <c r="I17" s="64">
        <v>46082</v>
      </c>
      <c r="J17" s="64">
        <v>46447</v>
      </c>
      <c r="L17" s="22"/>
      <c r="M17" s="22"/>
      <c r="N17" s="22"/>
      <c r="O17" s="22"/>
      <c r="P17" s="22"/>
    </row>
    <row r="18" spans="3:17" ht="15.6">
      <c r="C18" s="192" t="s">
        <v>30</v>
      </c>
      <c r="D18" s="24">
        <v>0.25</v>
      </c>
      <c r="E18" s="24">
        <v>0.25</v>
      </c>
      <c r="H18" s="18" t="s">
        <v>31</v>
      </c>
      <c r="I18" s="184">
        <v>9657</v>
      </c>
      <c r="J18" s="184">
        <v>10149</v>
      </c>
      <c r="N18" s="22"/>
      <c r="O18" s="22"/>
      <c r="P18" s="180"/>
      <c r="Q18" s="180"/>
    </row>
    <row r="19" spans="3:17" ht="15.6">
      <c r="C19" s="192" t="s">
        <v>32</v>
      </c>
      <c r="D19" s="24">
        <v>0.25</v>
      </c>
      <c r="E19" s="24">
        <v>0.25</v>
      </c>
      <c r="H19" s="18" t="s">
        <v>33</v>
      </c>
      <c r="I19" s="184">
        <v>914</v>
      </c>
      <c r="J19" s="184">
        <v>960</v>
      </c>
      <c r="P19" s="180"/>
      <c r="Q19" s="180"/>
    </row>
    <row r="20" spans="3:17" ht="15.6">
      <c r="C20" s="192" t="s">
        <v>34</v>
      </c>
      <c r="D20" s="24">
        <v>0.25</v>
      </c>
      <c r="E20" s="24">
        <v>0.25</v>
      </c>
      <c r="H20" s="18" t="s">
        <v>37</v>
      </c>
      <c r="I20" s="184">
        <v>2650</v>
      </c>
      <c r="J20" s="184">
        <v>2785</v>
      </c>
      <c r="P20" s="180"/>
      <c r="Q20" s="180"/>
    </row>
    <row r="21" spans="3:17" ht="15.6">
      <c r="C21" s="192" t="s">
        <v>36</v>
      </c>
      <c r="D21" s="24">
        <v>0.25</v>
      </c>
      <c r="E21" s="24">
        <v>0.25</v>
      </c>
      <c r="H21" s="18" t="s">
        <v>39</v>
      </c>
      <c r="I21" s="184">
        <v>4846</v>
      </c>
      <c r="J21" s="184">
        <v>5094</v>
      </c>
      <c r="P21" s="180"/>
      <c r="Q21" s="180"/>
    </row>
    <row r="22" spans="3:17" ht="15.6">
      <c r="C22" s="192" t="s">
        <v>38</v>
      </c>
      <c r="D22" s="24">
        <v>0.25</v>
      </c>
      <c r="E22" s="24">
        <v>0.25</v>
      </c>
      <c r="H22" s="18" t="s">
        <v>41</v>
      </c>
      <c r="I22" s="184">
        <v>5500</v>
      </c>
      <c r="J22" s="184">
        <v>5780</v>
      </c>
      <c r="P22" s="180"/>
      <c r="Q22" s="180"/>
    </row>
    <row r="23" spans="3:17" ht="15.6">
      <c r="C23" s="192" t="s">
        <v>40</v>
      </c>
      <c r="D23" s="24">
        <v>0.25</v>
      </c>
      <c r="E23" s="24">
        <v>0.25</v>
      </c>
      <c r="H23" s="18" t="s">
        <v>43</v>
      </c>
      <c r="I23" s="184">
        <v>14</v>
      </c>
      <c r="J23" s="184">
        <v>16</v>
      </c>
      <c r="L23" s="22"/>
      <c r="M23" s="22"/>
      <c r="P23" s="180"/>
      <c r="Q23" s="180"/>
    </row>
    <row r="24" spans="3:17" ht="15.6">
      <c r="C24" s="192" t="s">
        <v>42</v>
      </c>
      <c r="D24" s="24">
        <v>0.25</v>
      </c>
      <c r="E24" s="24">
        <v>0.25</v>
      </c>
      <c r="H24" s="18" t="s">
        <v>45</v>
      </c>
      <c r="I24" s="184">
        <v>136</v>
      </c>
      <c r="J24" s="184">
        <v>151</v>
      </c>
      <c r="P24" s="180"/>
      <c r="Q24" s="180"/>
    </row>
    <row r="25" spans="3:17" ht="15.6">
      <c r="C25" s="192" t="s">
        <v>44</v>
      </c>
      <c r="D25" s="24">
        <v>0.25</v>
      </c>
      <c r="E25" s="24">
        <v>0.25</v>
      </c>
      <c r="H25" s="18" t="s">
        <v>47</v>
      </c>
      <c r="I25" s="184">
        <v>633</v>
      </c>
      <c r="J25" s="184">
        <v>702</v>
      </c>
      <c r="P25" s="180"/>
      <c r="Q25" s="180"/>
    </row>
    <row r="26" spans="3:17" ht="15.6">
      <c r="C26" s="192" t="s">
        <v>46</v>
      </c>
      <c r="D26" s="24">
        <v>0.25</v>
      </c>
      <c r="E26" s="24">
        <v>0.25</v>
      </c>
      <c r="H26" s="18" t="s">
        <v>49</v>
      </c>
      <c r="I26" s="184">
        <v>654</v>
      </c>
      <c r="J26" s="184">
        <v>687</v>
      </c>
      <c r="P26" s="180"/>
      <c r="Q26" s="180"/>
    </row>
    <row r="27" spans="3:17" ht="15.6">
      <c r="C27" s="192" t="s">
        <v>48</v>
      </c>
      <c r="D27" s="24">
        <v>0.25</v>
      </c>
      <c r="E27" s="24">
        <v>0.25</v>
      </c>
      <c r="H27" s="18" t="s">
        <v>51</v>
      </c>
      <c r="I27" s="184">
        <v>0</v>
      </c>
      <c r="J27" s="184">
        <v>0</v>
      </c>
      <c r="P27" s="180"/>
      <c r="Q27" s="180"/>
    </row>
    <row r="28" spans="3:17" ht="15.6">
      <c r="C28" s="192" t="s">
        <v>50</v>
      </c>
      <c r="D28" s="24">
        <v>0.25</v>
      </c>
      <c r="E28" s="24">
        <v>0.25</v>
      </c>
      <c r="H28" s="18" t="s">
        <v>53</v>
      </c>
      <c r="I28" s="184">
        <v>0</v>
      </c>
      <c r="J28" s="184">
        <v>0</v>
      </c>
      <c r="P28" s="180"/>
      <c r="Q28" s="180"/>
    </row>
    <row r="29" spans="3:17" ht="16.2" thickBot="1">
      <c r="C29" s="192" t="s">
        <v>52</v>
      </c>
      <c r="D29" s="24">
        <v>0.25</v>
      </c>
      <c r="E29" s="24">
        <v>0.25</v>
      </c>
      <c r="H29" s="19" t="s">
        <v>55</v>
      </c>
      <c r="I29" s="181">
        <f>SUM(I18:I28)</f>
        <v>25004</v>
      </c>
      <c r="J29" s="181">
        <f>SUM(J18:J28)</f>
        <v>26324</v>
      </c>
      <c r="P29" s="180"/>
      <c r="Q29" s="180"/>
    </row>
    <row r="30" spans="3:17" ht="16.2" thickTop="1">
      <c r="C30" s="192" t="s">
        <v>54</v>
      </c>
      <c r="D30" s="24">
        <v>0.25</v>
      </c>
      <c r="E30" s="24">
        <v>0.25</v>
      </c>
    </row>
    <row r="31" spans="3:17" ht="15.6">
      <c r="C31" s="193" t="s">
        <v>49</v>
      </c>
      <c r="D31" s="24">
        <v>0.25</v>
      </c>
      <c r="E31" s="24">
        <v>0.25</v>
      </c>
    </row>
    <row r="32" spans="3:17" ht="15.6">
      <c r="C32" s="192" t="s">
        <v>51</v>
      </c>
      <c r="D32" s="24">
        <v>0.25</v>
      </c>
      <c r="E32" s="24">
        <v>0.25</v>
      </c>
    </row>
    <row r="33" spans="2:14" ht="15.6">
      <c r="C33" s="193" t="s">
        <v>53</v>
      </c>
      <c r="D33" s="24">
        <v>0.25</v>
      </c>
      <c r="E33" s="24">
        <v>0.25</v>
      </c>
    </row>
    <row r="34" spans="2:14" ht="15.6">
      <c r="C34" s="194" t="s">
        <v>56</v>
      </c>
      <c r="D34" s="24">
        <v>0.1</v>
      </c>
      <c r="E34" s="24">
        <v>0.1</v>
      </c>
    </row>
    <row r="35" spans="2:14">
      <c r="C35" s="240" t="s">
        <v>141</v>
      </c>
    </row>
    <row r="39" spans="2:14" s="3" customFormat="1">
      <c r="B39" s="7"/>
      <c r="C39" s="41"/>
      <c r="D39" s="41"/>
      <c r="E39" s="41"/>
      <c r="F39" s="41"/>
      <c r="G39" s="7"/>
      <c r="H39" s="7"/>
      <c r="I39" s="7"/>
      <c r="J39" s="7"/>
      <c r="K39" s="7"/>
      <c r="L39" s="7"/>
      <c r="M39" s="7"/>
      <c r="N39" s="7"/>
    </row>
    <row r="40" spans="2:14" s="3" customFormat="1">
      <c r="B40" s="3" t="str" cm="1">
        <f t="array" aca="1" ref="B40" ca="1">_xlfn.CONCAT("End of ",_xlfn.TEXTAFTER(CELL("filename",B1),"]"))</f>
        <v>End of Core Inputs Interface</v>
      </c>
      <c r="C40"/>
      <c r="D40"/>
      <c r="E40"/>
      <c r="F40"/>
    </row>
    <row r="41" spans="2:14" s="3" customFormat="1" ht="13.8"/>
    <row r="42" spans="2:14">
      <c r="C42" s="3"/>
      <c r="D42" s="3"/>
      <c r="E42" s="3"/>
      <c r="F42" s="3"/>
    </row>
    <row r="43" spans="2:14">
      <c r="C43" s="3"/>
      <c r="D43" s="3"/>
      <c r="E43" s="3"/>
      <c r="F43" s="3"/>
    </row>
  </sheetData>
  <mergeCells count="3">
    <mergeCell ref="H11:J12"/>
    <mergeCell ref="C11:E12"/>
    <mergeCell ref="H14:H15"/>
  </mergeCells>
  <conditionalFormatting sqref="B4">
    <cfRule type="duplicateValues" dxfId="10" priority="1"/>
  </conditionalFormatting>
  <hyperlinks>
    <hyperlink ref="C35" r:id="rId1" display="Add link to useful Canadian Government Website with the latest tariffs" xr:uid="{63181DFC-FCDC-4693-B8ED-9CE9CC05A2F0}"/>
  </hyperlinks>
  <pageMargins left="0.7" right="0.7" top="0.75" bottom="0.75" header="0.3" footer="0.3"/>
  <pageSetup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304A8-B661-4156-A523-36423A330CB9}">
  <sheetPr codeName="Sheet4"/>
  <dimension ref="B1:AA84"/>
  <sheetViews>
    <sheetView showGridLines="0" workbookViewId="0"/>
  </sheetViews>
  <sheetFormatPr defaultColWidth="9.109375" defaultRowHeight="14.4"/>
  <cols>
    <col min="1" max="1" width="1.6640625" customWidth="1"/>
    <col min="2" max="2" width="22.44140625" customWidth="1"/>
    <col min="3" max="3" width="23.6640625" customWidth="1"/>
    <col min="4" max="8" width="23" style="17" customWidth="1"/>
    <col min="9" max="10" width="22.88671875" style="17" customWidth="1"/>
    <col min="11" max="11" width="15" style="17" bestFit="1" customWidth="1"/>
    <col min="12" max="14" width="11.44140625" style="17" customWidth="1"/>
    <col min="15" max="15" width="3.6640625" bestFit="1" customWidth="1"/>
    <col min="16" max="16" width="19.88671875" bestFit="1" customWidth="1"/>
    <col min="17" max="17" width="20" customWidth="1"/>
    <col min="18" max="18" width="20" style="17" customWidth="1"/>
    <col min="19" max="19" width="19.88671875" bestFit="1" customWidth="1"/>
    <col min="20" max="20" width="5" bestFit="1" customWidth="1"/>
    <col min="21" max="37" width="9.109375" customWidth="1"/>
  </cols>
  <sheetData>
    <row r="1" spans="2:27" ht="36.6">
      <c r="B1" s="25" t="str" cm="1">
        <f t="array" aca="1" ref="B1" ca="1">_xlfn.TEXTAFTER(CELL("filename",B1),"]")</f>
        <v>Optional Project-Level Input</v>
      </c>
      <c r="C1" s="11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11"/>
      <c r="P1" s="11"/>
      <c r="Q1" s="11"/>
      <c r="R1" s="67"/>
      <c r="S1" s="11"/>
      <c r="T1" s="11"/>
      <c r="U1" s="11"/>
      <c r="V1" s="11"/>
      <c r="W1" s="11"/>
      <c r="X1" s="11"/>
      <c r="Y1" s="11"/>
      <c r="Z1" s="11"/>
      <c r="AA1" s="11"/>
    </row>
    <row r="2" spans="2:27" ht="15.6">
      <c r="B2" s="26" t="s">
        <v>121</v>
      </c>
      <c r="C2" s="11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11"/>
      <c r="P2" s="11"/>
      <c r="Q2" s="11"/>
      <c r="R2" s="67"/>
      <c r="S2" s="11"/>
      <c r="T2" s="11"/>
      <c r="U2" s="11"/>
      <c r="V2" s="11"/>
      <c r="W2" s="11"/>
      <c r="X2" s="11"/>
      <c r="Y2" s="11"/>
      <c r="Z2" s="11"/>
      <c r="AA2" s="11"/>
    </row>
    <row r="3" spans="2:27">
      <c r="B3" s="13"/>
      <c r="C3" s="11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11"/>
      <c r="P3" s="11"/>
      <c r="Q3" s="11"/>
      <c r="R3" s="67"/>
      <c r="S3" s="11"/>
      <c r="T3" s="11"/>
      <c r="U3" s="11"/>
      <c r="V3" s="11"/>
      <c r="W3" s="11"/>
      <c r="X3" s="11"/>
      <c r="Y3" s="11"/>
      <c r="Z3" s="11"/>
      <c r="AA3" s="11"/>
    </row>
    <row r="4" spans="2:27">
      <c r="B4" s="14" t="str" cm="1">
        <f t="array" aca="1" ref="B4" ca="1" xml:space="preserve"> HYPERLINK("#'" &amp; _xlfn.TEXTAFTER(CELL("filename",'Home Page'!$A$1),"]") &amp; "'!A1","Back to Home Page")</f>
        <v>Back to Home Page</v>
      </c>
      <c r="C4" s="11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11"/>
      <c r="P4" s="11"/>
      <c r="Q4" s="11"/>
      <c r="R4" s="67"/>
      <c r="S4" s="11"/>
      <c r="T4" s="11"/>
      <c r="U4" s="11"/>
      <c r="V4" s="11"/>
      <c r="W4" s="11"/>
      <c r="X4" s="11"/>
      <c r="Y4" s="11"/>
      <c r="Z4" s="11"/>
      <c r="AA4" s="11"/>
    </row>
    <row r="5" spans="2:27">
      <c r="B5" s="13"/>
      <c r="C5" s="11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11"/>
      <c r="P5" s="11"/>
      <c r="Q5" s="11"/>
      <c r="R5" s="67"/>
      <c r="S5" s="11"/>
      <c r="T5" s="11"/>
      <c r="U5" s="11"/>
      <c r="V5" s="11"/>
      <c r="W5" s="11"/>
      <c r="X5" s="11"/>
      <c r="Y5" s="11"/>
      <c r="Z5" s="11"/>
      <c r="AA5" s="11"/>
    </row>
    <row r="7" spans="2:27">
      <c r="B7" s="17" t="s">
        <v>125</v>
      </c>
      <c r="C7" s="199" t="s">
        <v>136</v>
      </c>
      <c r="D7" s="182"/>
    </row>
    <row r="9" spans="2:27">
      <c r="C9" s="197"/>
      <c r="E9" s="242" t="s">
        <v>128</v>
      </c>
      <c r="F9" s="245" t="str">
        <f>IF(SUM($D9:$E9)=0,"",IFERROR(INDEX('Model Calcuations'!$Z:$Z,MATCH($B9,'Model Calcuations'!$T:$T,0)),"non-core input specified"))</f>
        <v/>
      </c>
      <c r="G9" s="245" t="str">
        <f>IF(SUM($D9:$E9)=0,"",IFERROR(INDEX('Model Calcuations'!$AA:$AA,MATCH($B9,'Model Calcuations'!$T:$T,0)),"non-core input specified"))</f>
        <v/>
      </c>
      <c r="H9" s="245" t="str">
        <f>IF(SUM($D9:$E9)=0,"",IFERROR(INDEX('Model Calcuations'!$U:$U,MATCH($B9,'Model Calcuations'!$T:$T,0)),"non-core input specified"))</f>
        <v/>
      </c>
      <c r="I9" s="245" t="str">
        <f>IF(SUM($D9:$E9)=0,"",IFERROR(INDEX('Model Calcuations'!$Y:$Y,MATCH(B9,'Model Calcuations'!$T:$T,0)),"non-core input specified"))</f>
        <v/>
      </c>
      <c r="K9"/>
      <c r="L9"/>
      <c r="M9"/>
      <c r="N9"/>
      <c r="Q9" s="17"/>
      <c r="R9"/>
    </row>
    <row r="10" spans="2:27">
      <c r="C10" s="197"/>
      <c r="F10" s="243" t="s">
        <v>148</v>
      </c>
      <c r="K10"/>
      <c r="L10"/>
      <c r="M10"/>
      <c r="N10"/>
      <c r="Q10" s="17"/>
      <c r="R10"/>
    </row>
    <row r="11" spans="2:27">
      <c r="B11" s="179"/>
      <c r="C11" s="198"/>
      <c r="D11" s="274" t="s">
        <v>129</v>
      </c>
      <c r="E11" s="275"/>
      <c r="F11" s="274" t="s">
        <v>58</v>
      </c>
      <c r="G11" s="275"/>
      <c r="H11" s="185"/>
      <c r="I11" s="185"/>
      <c r="J11" s="209"/>
      <c r="K11" s="152"/>
      <c r="L11"/>
      <c r="M11"/>
      <c r="N11"/>
    </row>
    <row r="12" spans="2:27">
      <c r="B12" s="178" t="s">
        <v>63</v>
      </c>
      <c r="C12" s="198" t="s">
        <v>124</v>
      </c>
      <c r="D12" s="185" t="s">
        <v>24</v>
      </c>
      <c r="E12" s="178" t="s">
        <v>25</v>
      </c>
      <c r="F12" s="185" t="s">
        <v>24</v>
      </c>
      <c r="G12" s="178" t="s">
        <v>25</v>
      </c>
      <c r="H12" s="200" t="s">
        <v>57</v>
      </c>
      <c r="I12" s="185" t="s">
        <v>59</v>
      </c>
      <c r="J12" s="209" t="s">
        <v>126</v>
      </c>
      <c r="K12" s="241" t="s">
        <v>127</v>
      </c>
      <c r="L12"/>
      <c r="M12"/>
      <c r="N12"/>
    </row>
    <row r="13" spans="2:27">
      <c r="B13" t="s">
        <v>65</v>
      </c>
      <c r="D13" s="206">
        <v>87</v>
      </c>
      <c r="E13" s="207">
        <v>76</v>
      </c>
      <c r="F13" s="205">
        <f ca="1">IF(SUM($D13:$E13)=0,"",IFERROR(INDEX('Model Calcuations'!$Z:$Z,MATCH($B13,'Model Calcuations'!$T:$T,0)),"non-core input specified"))</f>
        <v>0.25</v>
      </c>
      <c r="G13" s="205">
        <f ca="1">IF(SUM($D13:$E13)=0,"",IFERROR(INDEX('Model Calcuations'!$AA:$AA,MATCH($B13,'Model Calcuations'!$T:$T,0)),"non-core input specified"))</f>
        <v>0.25</v>
      </c>
      <c r="H13" s="205">
        <f>IF(SUM($D13:$E13)=0,"",IFERROR(INDEX('Model Calcuations'!$U:$U,MATCH($B13,'Model Calcuations'!$T:$T,0)),"non-core input specified"))</f>
        <v>0.48556692694591386</v>
      </c>
      <c r="I13" s="205">
        <f>IF(SUM($D13:$E13)=0,"",IFERROR(INDEX('Model Calcuations'!$Y:$Y,MATCH(B13,'Model Calcuations'!$T:$T,0)),"non-core input specified"))</f>
        <v>0.8</v>
      </c>
      <c r="J13" s="208" t="str">
        <f ca="1">IF(SUM(D13:E13)=0,"",IF(SUM(COUNTBLANK(F13:I13),COUNTIF(F13:I13,"non-core input specified"))&gt;0,"Input Missing",""))</f>
        <v/>
      </c>
      <c r="K13" s="152" t="str">
        <f t="shared" ref="K13:K52" ca="1" si="0">IF(ISBLANK(B13),"",IF(COUNTIF(B:B,B13)=1,"","Duplicate Input Detected"))</f>
        <v/>
      </c>
      <c r="L13" s="211"/>
      <c r="M13" s="211"/>
      <c r="N13"/>
    </row>
    <row r="14" spans="2:27">
      <c r="B14" t="s">
        <v>27</v>
      </c>
      <c r="D14" s="206">
        <v>69</v>
      </c>
      <c r="E14" s="207">
        <v>90</v>
      </c>
      <c r="F14" s="205">
        <f ca="1">IF(SUM($D14:$E14)=0,"",IFERROR(INDEX('Model Calcuations'!$Z:$Z,MATCH($B14,'Model Calcuations'!$T:$T,0)),"non-core input specified"))</f>
        <v>0.25</v>
      </c>
      <c r="G14" s="205">
        <f ca="1">IF(SUM($D14:$E14)=0,"",IFERROR(INDEX('Model Calcuations'!$AA:$AA,MATCH($B14,'Model Calcuations'!$T:$T,0)),"non-core input specified"))</f>
        <v>0.25</v>
      </c>
      <c r="H14" s="205">
        <f>IF(SUM($D14:$E14)=0,"",IFERROR(INDEX('Model Calcuations'!$U:$U,MATCH($B14,'Model Calcuations'!$T:$T,0)),"non-core input specified"))</f>
        <v>0.52500514810102583</v>
      </c>
      <c r="I14" s="205">
        <f>IF(SUM($D14:$E14)=0,"",IFERROR(INDEX('Model Calcuations'!$Y:$Y,MATCH(B14,'Model Calcuations'!$T:$T,0)),"non-core input specified"))</f>
        <v>0.6</v>
      </c>
      <c r="J14" s="208" t="str">
        <f t="shared" ref="J14:J52" ca="1" si="1">IF(SUM(D14:E14)=0,"",IF(SUM(COUNTBLANK(F14:I14),COUNTIF(F14:I14,"non-core input specified"))&gt;0,"Input Missing",""))</f>
        <v/>
      </c>
      <c r="K14" s="152" t="str">
        <f t="shared" ca="1" si="0"/>
        <v/>
      </c>
      <c r="L14" s="211"/>
      <c r="M14" s="211"/>
      <c r="N14"/>
    </row>
    <row r="15" spans="2:27">
      <c r="B15" t="s">
        <v>48</v>
      </c>
      <c r="D15" s="206">
        <v>73</v>
      </c>
      <c r="E15" s="207">
        <v>51</v>
      </c>
      <c r="F15" s="205">
        <f ca="1">IF(SUM($D15:$E15)=0,"",IFERROR(INDEX('Model Calcuations'!$Z:$Z,MATCH($B15,'Model Calcuations'!$T:$T,0)),"non-core input specified"))</f>
        <v>0.25</v>
      </c>
      <c r="G15" s="205">
        <f ca="1">IF(SUM($D15:$E15)=0,"",IFERROR(INDEX('Model Calcuations'!$AA:$AA,MATCH($B15,'Model Calcuations'!$T:$T,0)),"non-core input specified"))</f>
        <v>0.25</v>
      </c>
      <c r="H15" s="205">
        <f>IF(SUM($D15:$E15)=0,"",IFERROR(INDEX('Model Calcuations'!$U:$U,MATCH($B15,'Model Calcuations'!$T:$T,0)),"non-core input specified"))</f>
        <v>0.31546495432215926</v>
      </c>
      <c r="I15" s="205">
        <f>IF(SUM($D15:$E15)=0,"",IFERROR(INDEX('Model Calcuations'!$Y:$Y,MATCH(B15,'Model Calcuations'!$T:$T,0)),"non-core input specified"))</f>
        <v>0.8</v>
      </c>
      <c r="J15" s="208" t="str">
        <f t="shared" ca="1" si="1"/>
        <v/>
      </c>
      <c r="K15" s="152" t="str">
        <f t="shared" ca="1" si="0"/>
        <v/>
      </c>
      <c r="L15" s="211"/>
      <c r="M15" s="211"/>
      <c r="N15"/>
    </row>
    <row r="16" spans="2:27">
      <c r="B16" t="s">
        <v>56</v>
      </c>
      <c r="D16" s="206">
        <v>94</v>
      </c>
      <c r="E16" s="207">
        <v>91</v>
      </c>
      <c r="F16" s="205">
        <f ca="1">IF(SUM($D16:$E16)=0,"",IFERROR(INDEX('Model Calcuations'!$Z:$Z,MATCH($B16,'Model Calcuations'!$T:$T,0)),"non-core input specified"))</f>
        <v>0.1</v>
      </c>
      <c r="G16" s="205">
        <f ca="1">IF(SUM($D16:$E16)=0,"",IFERROR(INDEX('Model Calcuations'!$AA:$AA,MATCH($B16,'Model Calcuations'!$T:$T,0)),"non-core input specified"))</f>
        <v>0.1</v>
      </c>
      <c r="H16" s="205">
        <f>IF(SUM($D16:$E16)=0,"",IFERROR(INDEX('Model Calcuations'!$U:$U,MATCH($B16,'Model Calcuations'!$T:$T,0)),"non-core input specified"))</f>
        <v>0.45356302165418505</v>
      </c>
      <c r="I16" s="205">
        <f>IF(SUM($D16:$E16)=0,"",IFERROR(INDEX('Model Calcuations'!$Y:$Y,MATCH(B16,'Model Calcuations'!$T:$T,0)),"non-core input specified"))</f>
        <v>0.6</v>
      </c>
      <c r="J16" s="208" t="str">
        <f t="shared" ca="1" si="1"/>
        <v/>
      </c>
      <c r="K16" s="152" t="str">
        <f t="shared" ca="1" si="0"/>
        <v/>
      </c>
      <c r="L16" s="211"/>
      <c r="M16" s="211"/>
      <c r="N16"/>
    </row>
    <row r="17" spans="2:14">
      <c r="B17" t="s">
        <v>30</v>
      </c>
      <c r="D17" s="206">
        <v>91</v>
      </c>
      <c r="E17" s="207">
        <v>92</v>
      </c>
      <c r="F17" s="205">
        <f ca="1">IF(SUM($D17:$E17)=0,"",IFERROR(INDEX('Model Calcuations'!$Z:$Z,MATCH($B17,'Model Calcuations'!$T:$T,0)),"non-core input specified"))</f>
        <v>0.25</v>
      </c>
      <c r="G17" s="205">
        <f ca="1">IF(SUM($D17:$E17)=0,"",IFERROR(INDEX('Model Calcuations'!$AA:$AA,MATCH($B17,'Model Calcuations'!$T:$T,0)),"non-core input specified"))</f>
        <v>0.25</v>
      </c>
      <c r="H17" s="205">
        <f>IF(SUM($D17:$E17)=0,"",IFERROR(INDEX('Model Calcuations'!$U:$U,MATCH($B17,'Model Calcuations'!$T:$T,0)),"non-core input specified"))</f>
        <v>1.1472584695084088E-2</v>
      </c>
      <c r="I17" s="205">
        <f>IF(SUM($D17:$E17)=0,"",IFERROR(INDEX('Model Calcuations'!$Y:$Y,MATCH(B17,'Model Calcuations'!$T:$T,0)),"non-core input specified"))</f>
        <v>0.6</v>
      </c>
      <c r="J17" s="208" t="str">
        <f t="shared" ca="1" si="1"/>
        <v/>
      </c>
      <c r="K17" s="152" t="str">
        <f t="shared" ca="1" si="0"/>
        <v/>
      </c>
      <c r="L17" s="211"/>
      <c r="M17" s="211"/>
      <c r="N17"/>
    </row>
    <row r="18" spans="2:14">
      <c r="B18" t="s">
        <v>66</v>
      </c>
      <c r="D18" s="206">
        <v>99</v>
      </c>
      <c r="E18" s="207">
        <v>94</v>
      </c>
      <c r="F18" s="205" t="str">
        <f ca="1">IF(SUM($D18:$E18)=0,"",IFERROR(INDEX('Model Calcuations'!$Z:$Z,MATCH($B18,'Model Calcuations'!$T:$T,0)),"non-core input specified"))</f>
        <v>N/A</v>
      </c>
      <c r="G18" s="205" t="str">
        <f ca="1">IF(SUM($D18:$E18)=0,"",IFERROR(INDEX('Model Calcuations'!$AA:$AA,MATCH($B18,'Model Calcuations'!$T:$T,0)),"non-core input specified"))</f>
        <v>N/A</v>
      </c>
      <c r="H18" s="205" t="str">
        <f>IF(SUM($D18:$E18)=0,"",IFERROR(INDEX('Model Calcuations'!$U:$U,MATCH($B18,'Model Calcuations'!$T:$T,0)),"non-core input specified"))</f>
        <v>N/A</v>
      </c>
      <c r="I18" s="205" t="str">
        <f>IF(SUM($D18:$E18)=0,"",IFERROR(INDEX('Model Calcuations'!$Y:$Y,MATCH(B18,'Model Calcuations'!$T:$T,0)),"non-core input specified"))</f>
        <v>N/A</v>
      </c>
      <c r="J18" s="208" t="str">
        <f t="shared" ca="1" si="1"/>
        <v/>
      </c>
      <c r="K18" s="152" t="str">
        <f t="shared" ca="1" si="0"/>
        <v/>
      </c>
      <c r="L18" s="211"/>
      <c r="M18" s="211"/>
      <c r="N18"/>
    </row>
    <row r="19" spans="2:14">
      <c r="B19" t="s">
        <v>122</v>
      </c>
      <c r="C19" t="s">
        <v>137</v>
      </c>
      <c r="D19" s="206">
        <v>69</v>
      </c>
      <c r="E19" s="207">
        <v>93</v>
      </c>
      <c r="F19" s="205">
        <v>0.25</v>
      </c>
      <c r="G19" s="205">
        <v>0.25</v>
      </c>
      <c r="H19" s="205">
        <v>0.8</v>
      </c>
      <c r="I19" s="205">
        <v>0.8</v>
      </c>
      <c r="J19" s="208" t="str">
        <f t="shared" si="1"/>
        <v/>
      </c>
      <c r="K19" s="152" t="str">
        <f t="shared" ca="1" si="0"/>
        <v/>
      </c>
      <c r="L19" s="211"/>
      <c r="M19" s="211"/>
      <c r="N19"/>
    </row>
    <row r="20" spans="2:14">
      <c r="D20" s="206"/>
      <c r="E20" s="207"/>
      <c r="F20" s="205" t="str">
        <f>IF(SUM($D20:$E20)=0,"",IFERROR(INDEX('Model Calcuations'!$Z:$Z,MATCH($B20,'Model Calcuations'!$T:$T,0)),"non-core input specified"))</f>
        <v/>
      </c>
      <c r="G20" s="205" t="str">
        <f>IF(SUM($D20:$E20)=0,"",IFERROR(INDEX('Model Calcuations'!$AA:$AA,MATCH($B20,'Model Calcuations'!$T:$T,0)),"non-core input specified"))</f>
        <v/>
      </c>
      <c r="H20" s="205" t="str">
        <f>IF(SUM($D20:$E20)=0,"",IFERROR(INDEX('Model Calcuations'!$U:$U,MATCH($B20,'Model Calcuations'!$T:$T,0)),"non-core input specified"))</f>
        <v/>
      </c>
      <c r="I20" s="205"/>
      <c r="J20" s="208" t="str">
        <f t="shared" si="1"/>
        <v/>
      </c>
      <c r="K20" s="152" t="str">
        <f t="shared" si="0"/>
        <v/>
      </c>
      <c r="L20"/>
      <c r="M20"/>
      <c r="N20"/>
    </row>
    <row r="21" spans="2:14">
      <c r="D21" s="206"/>
      <c r="E21" s="207"/>
      <c r="F21" s="205" t="str">
        <f>IF(SUM($D21:$E21)=0,"",IFERROR(INDEX('Model Calcuations'!$Z:$Z,MATCH($B21,'Model Calcuations'!$T:$T,0)),"non-core input specified"))</f>
        <v/>
      </c>
      <c r="G21" s="205" t="str">
        <f>IF(SUM($D21:$E21)=0,"",IFERROR(INDEX('Model Calcuations'!$AA:$AA,MATCH($B21,'Model Calcuations'!$T:$T,0)),"non-core input specified"))</f>
        <v/>
      </c>
      <c r="H21" s="205" t="str">
        <f>IF(SUM($D21:$E21)=0,"",IFERROR(INDEX('Model Calcuations'!$U:$U,MATCH($B21,'Model Calcuations'!$T:$T,0)),"non-core input specified"))</f>
        <v/>
      </c>
      <c r="I21" s="205"/>
      <c r="J21" s="208" t="str">
        <f t="shared" si="1"/>
        <v/>
      </c>
      <c r="K21" s="152" t="str">
        <f t="shared" si="0"/>
        <v/>
      </c>
      <c r="L21"/>
      <c r="M21"/>
      <c r="N21"/>
    </row>
    <row r="22" spans="2:14">
      <c r="D22" s="206"/>
      <c r="E22" s="207"/>
      <c r="F22" s="205" t="str">
        <f>IF(SUM($D22:$E22)=0,"",IFERROR(INDEX('Model Calcuations'!$Z:$Z,MATCH($B22,'Model Calcuations'!$T:$T,0)),"non-core input specified"))</f>
        <v/>
      </c>
      <c r="G22" s="205" t="str">
        <f>IF(SUM($D22:$E22)=0,"",IFERROR(INDEX('Model Calcuations'!$AA:$AA,MATCH($B22,'Model Calcuations'!$T:$T,0)),"non-core input specified"))</f>
        <v/>
      </c>
      <c r="H22" s="205" t="str">
        <f>IF(SUM($D22:$E22)=0,"",IFERROR(INDEX('Model Calcuations'!$U:$U,MATCH($B22,'Model Calcuations'!$T:$T,0)),"non-core input specified"))</f>
        <v/>
      </c>
      <c r="I22" s="205"/>
      <c r="J22" s="208" t="str">
        <f t="shared" si="1"/>
        <v/>
      </c>
      <c r="K22" s="152" t="str">
        <f t="shared" si="0"/>
        <v/>
      </c>
      <c r="L22"/>
      <c r="M22"/>
      <c r="N22"/>
    </row>
    <row r="23" spans="2:14">
      <c r="D23" s="206"/>
      <c r="E23" s="207"/>
      <c r="F23" s="205" t="str">
        <f>IF(SUM($D23:$E23)=0,"",IFERROR(INDEX('Model Calcuations'!$Z:$Z,MATCH($B23,'Model Calcuations'!$T:$T,0)),"non-core input specified"))</f>
        <v/>
      </c>
      <c r="G23" s="205" t="str">
        <f>IF(SUM($D23:$E23)=0,"",IFERROR(INDEX('Model Calcuations'!$AA:$AA,MATCH($B23,'Model Calcuations'!$T:$T,0)),"non-core input specified"))</f>
        <v/>
      </c>
      <c r="H23" s="205" t="str">
        <f>IF(SUM($D23:$E23)=0,"",IFERROR(INDEX('Model Calcuations'!$U:$U,MATCH($B23,'Model Calcuations'!$T:$T,0)),"non-core input specified"))</f>
        <v/>
      </c>
      <c r="I23" s="205"/>
      <c r="J23" s="208" t="str">
        <f t="shared" si="1"/>
        <v/>
      </c>
      <c r="K23" s="152" t="str">
        <f t="shared" si="0"/>
        <v/>
      </c>
      <c r="L23"/>
      <c r="M23"/>
      <c r="N23"/>
    </row>
    <row r="24" spans="2:14">
      <c r="D24" s="206"/>
      <c r="E24" s="207"/>
      <c r="F24" s="205" t="str">
        <f>IF(SUM($D24:$E24)=0,"",IFERROR(INDEX('Model Calcuations'!$Z:$Z,MATCH($B24,'Model Calcuations'!$T:$T,0)),"non-core input specified"))</f>
        <v/>
      </c>
      <c r="G24" s="205" t="str">
        <f>IF(SUM($D24:$E24)=0,"",IFERROR(INDEX('Model Calcuations'!$AA:$AA,MATCH($B24,'Model Calcuations'!$T:$T,0)),"non-core input specified"))</f>
        <v/>
      </c>
      <c r="H24" s="205" t="str">
        <f>IF(SUM($D24:$E24)=0,"",IFERROR(INDEX('Model Calcuations'!$U:$U,MATCH($B24,'Model Calcuations'!$T:$T,0)),"non-core input specified"))</f>
        <v/>
      </c>
      <c r="I24" s="205"/>
      <c r="J24" s="208" t="str">
        <f t="shared" si="1"/>
        <v/>
      </c>
      <c r="K24" s="152" t="str">
        <f t="shared" si="0"/>
        <v/>
      </c>
      <c r="L24"/>
      <c r="M24"/>
      <c r="N24"/>
    </row>
    <row r="25" spans="2:14">
      <c r="D25" s="206"/>
      <c r="E25" s="207"/>
      <c r="F25" s="205" t="str">
        <f>IF(SUM($D25:$E25)=0,"",IFERROR(INDEX('Model Calcuations'!$Z:$Z,MATCH($B25,'Model Calcuations'!$T:$T,0)),"non-core input specified"))</f>
        <v/>
      </c>
      <c r="G25" s="205" t="str">
        <f>IF(SUM($D25:$E25)=0,"",IFERROR(INDEX('Model Calcuations'!$AA:$AA,MATCH($B25,'Model Calcuations'!$T:$T,0)),"non-core input specified"))</f>
        <v/>
      </c>
      <c r="H25" s="205" t="str">
        <f>IF(SUM($D25:$E25)=0,"",IFERROR(INDEX('Model Calcuations'!$U:$U,MATCH($B25,'Model Calcuations'!$T:$T,0)),"non-core input specified"))</f>
        <v/>
      </c>
      <c r="I25" s="205"/>
      <c r="J25" s="208" t="str">
        <f t="shared" si="1"/>
        <v/>
      </c>
      <c r="K25" s="152" t="str">
        <f t="shared" si="0"/>
        <v/>
      </c>
      <c r="L25"/>
      <c r="M25"/>
      <c r="N25"/>
    </row>
    <row r="26" spans="2:14">
      <c r="D26" s="206"/>
      <c r="E26" s="207"/>
      <c r="F26" s="205" t="str">
        <f>IF(SUM($D26:$E26)=0,"",IFERROR(INDEX('Model Calcuations'!$Z:$Z,MATCH($B26,'Model Calcuations'!$T:$T,0)),"non-core input specified"))</f>
        <v/>
      </c>
      <c r="G26" s="205" t="str">
        <f>IF(SUM($D26:$E26)=0,"",IFERROR(INDEX('Model Calcuations'!$AA:$AA,MATCH($B26,'Model Calcuations'!$T:$T,0)),"non-core input specified"))</f>
        <v/>
      </c>
      <c r="H26" s="205" t="str">
        <f>IF(SUM($D26:$E26)=0,"",IFERROR(INDEX('Model Calcuations'!$U:$U,MATCH($B26,'Model Calcuations'!$T:$T,0)),"non-core input specified"))</f>
        <v/>
      </c>
      <c r="I26" s="205"/>
      <c r="J26" s="208" t="str">
        <f t="shared" si="1"/>
        <v/>
      </c>
      <c r="K26" s="152" t="str">
        <f t="shared" si="0"/>
        <v/>
      </c>
      <c r="L26"/>
      <c r="M26"/>
      <c r="N26"/>
    </row>
    <row r="27" spans="2:14">
      <c r="D27" s="206"/>
      <c r="E27" s="207"/>
      <c r="F27" s="205" t="str">
        <f>IF(SUM($D27:$E27)=0,"",IFERROR(INDEX('Model Calcuations'!$Z:$Z,MATCH($B27,'Model Calcuations'!$T:$T,0)),"non-core input specified"))</f>
        <v/>
      </c>
      <c r="G27" s="205" t="str">
        <f>IF(SUM($D27:$E27)=0,"",IFERROR(INDEX('Model Calcuations'!$AA:$AA,MATCH($B27,'Model Calcuations'!$T:$T,0)),"non-core input specified"))</f>
        <v/>
      </c>
      <c r="H27" s="205" t="str">
        <f>IF(SUM($D27:$E27)=0,"",IFERROR(INDEX('Model Calcuations'!$U:$U,MATCH($B27,'Model Calcuations'!$T:$T,0)),"non-core input specified"))</f>
        <v/>
      </c>
      <c r="I27" s="205"/>
      <c r="J27" s="208" t="str">
        <f t="shared" si="1"/>
        <v/>
      </c>
      <c r="K27" s="152" t="str">
        <f t="shared" si="0"/>
        <v/>
      </c>
      <c r="L27"/>
      <c r="M27"/>
      <c r="N27"/>
    </row>
    <row r="28" spans="2:14">
      <c r="D28" s="206"/>
      <c r="E28" s="207"/>
      <c r="F28" s="205" t="str">
        <f>IF(SUM($D28:$E28)=0,"",IFERROR(INDEX('Model Calcuations'!$Z:$Z,MATCH($B28,'Model Calcuations'!$T:$T,0)),"non-core input specified"))</f>
        <v/>
      </c>
      <c r="G28" s="205" t="str">
        <f>IF(SUM($D28:$E28)=0,"",IFERROR(INDEX('Model Calcuations'!$AA:$AA,MATCH($B28,'Model Calcuations'!$T:$T,0)),"non-core input specified"))</f>
        <v/>
      </c>
      <c r="H28" s="205" t="str">
        <f>IF(SUM($D28:$E28)=0,"",IFERROR(INDEX('Model Calcuations'!$U:$U,MATCH($B28,'Model Calcuations'!$T:$T,0)),"non-core input specified"))</f>
        <v/>
      </c>
      <c r="I28" s="205"/>
      <c r="J28" s="208" t="str">
        <f t="shared" si="1"/>
        <v/>
      </c>
      <c r="K28" s="152" t="str">
        <f t="shared" si="0"/>
        <v/>
      </c>
      <c r="L28"/>
      <c r="M28"/>
      <c r="N28"/>
    </row>
    <row r="29" spans="2:14">
      <c r="D29" s="206"/>
      <c r="E29" s="207"/>
      <c r="F29" s="205" t="str">
        <f>IF(SUM($D29:$E29)=0,"",IFERROR(INDEX('Model Calcuations'!$Z:$Z,MATCH($B29,'Model Calcuations'!$T:$T,0)),"non-core input specified"))</f>
        <v/>
      </c>
      <c r="G29" s="205" t="str">
        <f>IF(SUM($D29:$E29)=0,"",IFERROR(INDEX('Model Calcuations'!$AA:$AA,MATCH($B29,'Model Calcuations'!$T:$T,0)),"non-core input specified"))</f>
        <v/>
      </c>
      <c r="H29" s="205" t="str">
        <f>IF(SUM($D29:$E29)=0,"",IFERROR(INDEX('Model Calcuations'!$U:$U,MATCH($B29,'Model Calcuations'!$T:$T,0)),"non-core input specified"))</f>
        <v/>
      </c>
      <c r="I29" s="205"/>
      <c r="J29" s="208" t="str">
        <f t="shared" si="1"/>
        <v/>
      </c>
      <c r="K29" s="152" t="str">
        <f t="shared" si="0"/>
        <v/>
      </c>
      <c r="L29"/>
      <c r="M29"/>
      <c r="N29"/>
    </row>
    <row r="30" spans="2:14">
      <c r="D30" s="206"/>
      <c r="E30" s="207"/>
      <c r="F30" s="205" t="str">
        <f>IF(SUM($D30:$E30)=0,"",IFERROR(INDEX('Model Calcuations'!$Z:$Z,MATCH($B30,'Model Calcuations'!$T:$T,0)),"non-core input specified"))</f>
        <v/>
      </c>
      <c r="G30" s="205" t="str">
        <f>IF(SUM($D30:$E30)=0,"",IFERROR(INDEX('Model Calcuations'!$AA:$AA,MATCH($B30,'Model Calcuations'!$T:$T,0)),"non-core input specified"))</f>
        <v/>
      </c>
      <c r="H30" s="205" t="str">
        <f>IF(SUM($D30:$E30)=0,"",IFERROR(INDEX('Model Calcuations'!$U:$U,MATCH($B30,'Model Calcuations'!$T:$T,0)),"non-core input specified"))</f>
        <v/>
      </c>
      <c r="I30" s="205"/>
      <c r="J30" s="208" t="str">
        <f t="shared" si="1"/>
        <v/>
      </c>
      <c r="K30" s="152" t="str">
        <f t="shared" si="0"/>
        <v/>
      </c>
      <c r="L30"/>
      <c r="M30"/>
      <c r="N30"/>
    </row>
    <row r="31" spans="2:14">
      <c r="D31" s="206"/>
      <c r="E31" s="207"/>
      <c r="F31" s="205" t="str">
        <f>IF(SUM($D31:$E31)=0,"",IFERROR(INDEX('Model Calcuations'!$Z:$Z,MATCH($B31,'Model Calcuations'!$T:$T,0)),"non-core input specified"))</f>
        <v/>
      </c>
      <c r="G31" s="205" t="str">
        <f>IF(SUM($D31:$E31)=0,"",IFERROR(INDEX('Model Calcuations'!$AA:$AA,MATCH($B31,'Model Calcuations'!$T:$T,0)),"non-core input specified"))</f>
        <v/>
      </c>
      <c r="H31" s="205" t="str">
        <f>IF(SUM($D31:$E31)=0,"",IFERROR(INDEX('Model Calcuations'!$U:$U,MATCH($B31,'Model Calcuations'!$T:$T,0)),"non-core input specified"))</f>
        <v/>
      </c>
      <c r="I31" s="205"/>
      <c r="J31" s="208" t="str">
        <f t="shared" si="1"/>
        <v/>
      </c>
      <c r="K31" s="152" t="str">
        <f t="shared" si="0"/>
        <v/>
      </c>
      <c r="L31"/>
      <c r="M31"/>
      <c r="N31"/>
    </row>
    <row r="32" spans="2:14">
      <c r="D32" s="206"/>
      <c r="E32" s="207"/>
      <c r="F32" s="205" t="str">
        <f>IF(SUM($D32:$E32)=0,"",IFERROR(INDEX('Model Calcuations'!$Z:$Z,MATCH($B32,'Model Calcuations'!$T:$T,0)),"non-core input specified"))</f>
        <v/>
      </c>
      <c r="G32" s="205" t="str">
        <f>IF(SUM($D32:$E32)=0,"",IFERROR(INDEX('Model Calcuations'!$AA:$AA,MATCH($B32,'Model Calcuations'!$T:$T,0)),"non-core input specified"))</f>
        <v/>
      </c>
      <c r="H32" s="205" t="str">
        <f>IF(SUM($D32:$E32)=0,"",IFERROR(INDEX('Model Calcuations'!$U:$U,MATCH($B32,'Model Calcuations'!$T:$T,0)),"non-core input specified"))</f>
        <v/>
      </c>
      <c r="I32" s="205"/>
      <c r="J32" s="208" t="str">
        <f t="shared" si="1"/>
        <v/>
      </c>
      <c r="K32" s="152" t="str">
        <f t="shared" si="0"/>
        <v/>
      </c>
      <c r="L32"/>
      <c r="M32"/>
      <c r="N32"/>
    </row>
    <row r="33" spans="4:18">
      <c r="D33" s="206"/>
      <c r="E33" s="207"/>
      <c r="F33" s="205" t="str">
        <f>IF(SUM($D33:$E33)=0,"",IFERROR(INDEX('Model Calcuations'!$Z:$Z,MATCH($B33,'Model Calcuations'!$T:$T,0)),"non-core input specified"))</f>
        <v/>
      </c>
      <c r="G33" s="205" t="str">
        <f>IF(SUM($D33:$E33)=0,"",IFERROR(INDEX('Model Calcuations'!$AA:$AA,MATCH($B33,'Model Calcuations'!$T:$T,0)),"non-core input specified"))</f>
        <v/>
      </c>
      <c r="H33" s="205" t="str">
        <f>IF(SUM($D33:$E33)=0,"",IFERROR(INDEX('Model Calcuations'!$U:$U,MATCH($B33,'Model Calcuations'!$T:$T,0)),"non-core input specified"))</f>
        <v/>
      </c>
      <c r="I33" s="205"/>
      <c r="J33" s="208" t="str">
        <f t="shared" si="1"/>
        <v/>
      </c>
      <c r="K33" s="152" t="str">
        <f t="shared" si="0"/>
        <v/>
      </c>
      <c r="L33"/>
      <c r="M33"/>
      <c r="N33"/>
    </row>
    <row r="34" spans="4:18">
      <c r="D34" s="206"/>
      <c r="E34" s="207"/>
      <c r="F34" s="205" t="str">
        <f>IF(SUM($D34:$E34)=0,"",IFERROR(INDEX('Model Calcuations'!$Z:$Z,MATCH($B34,'Model Calcuations'!$T:$T,0)),"non-core input specified"))</f>
        <v/>
      </c>
      <c r="G34" s="205" t="str">
        <f>IF(SUM($D34:$E34)=0,"",IFERROR(INDEX('Model Calcuations'!$AA:$AA,MATCH($B34,'Model Calcuations'!$T:$T,0)),"non-core input specified"))</f>
        <v/>
      </c>
      <c r="H34" s="205" t="str">
        <f>IF(SUM($D34:$E34)=0,"",IFERROR(INDEX('Model Calcuations'!$U:$U,MATCH($B34,'Model Calcuations'!$T:$T,0)),"non-core input specified"))</f>
        <v/>
      </c>
      <c r="I34" s="205"/>
      <c r="J34" s="208" t="str">
        <f t="shared" si="1"/>
        <v/>
      </c>
      <c r="K34" s="152" t="str">
        <f t="shared" si="0"/>
        <v/>
      </c>
      <c r="L34"/>
      <c r="M34"/>
      <c r="N34"/>
      <c r="Q34" s="17"/>
      <c r="R34"/>
    </row>
    <row r="35" spans="4:18">
      <c r="D35" s="206"/>
      <c r="E35" s="207"/>
      <c r="F35" s="205" t="str">
        <f>IF(SUM($D35:$E35)=0,"",IFERROR(INDEX('Model Calcuations'!$Z:$Z,MATCH($B35,'Model Calcuations'!$T:$T,0)),"non-core input specified"))</f>
        <v/>
      </c>
      <c r="G35" s="205" t="str">
        <f>IF(SUM($D35:$E35)=0,"",IFERROR(INDEX('Model Calcuations'!$AA:$AA,MATCH($B35,'Model Calcuations'!$T:$T,0)),"non-core input specified"))</f>
        <v/>
      </c>
      <c r="H35" s="205" t="str">
        <f>IF(SUM($D35:$E35)=0,"",IFERROR(INDEX('Model Calcuations'!$U:$U,MATCH($B35,'Model Calcuations'!$T:$T,0)),"non-core input specified"))</f>
        <v/>
      </c>
      <c r="I35" s="205"/>
      <c r="J35" s="208" t="str">
        <f t="shared" si="1"/>
        <v/>
      </c>
      <c r="K35" s="152" t="str">
        <f t="shared" si="0"/>
        <v/>
      </c>
      <c r="L35"/>
      <c r="M35"/>
      <c r="N35"/>
      <c r="Q35" s="17"/>
      <c r="R35"/>
    </row>
    <row r="36" spans="4:18">
      <c r="D36" s="206"/>
      <c r="E36" s="207"/>
      <c r="F36" s="205" t="str">
        <f>IF(SUM($D36:$E36)=0,"",IFERROR(INDEX('Model Calcuations'!$Z:$Z,MATCH($B36,'Model Calcuations'!$T:$T,0)),"non-core input specified"))</f>
        <v/>
      </c>
      <c r="G36" s="205" t="str">
        <f>IF(SUM($D36:$E36)=0,"",IFERROR(INDEX('Model Calcuations'!$AA:$AA,MATCH($B36,'Model Calcuations'!$T:$T,0)),"non-core input specified"))</f>
        <v/>
      </c>
      <c r="H36" s="205" t="str">
        <f>IF(SUM($D36:$E36)=0,"",IFERROR(INDEX('Model Calcuations'!$U:$U,MATCH($B36,'Model Calcuations'!$T:$T,0)),"non-core input specified"))</f>
        <v/>
      </c>
      <c r="I36" s="205"/>
      <c r="J36" s="208" t="str">
        <f t="shared" si="1"/>
        <v/>
      </c>
      <c r="K36" s="152" t="str">
        <f t="shared" si="0"/>
        <v/>
      </c>
      <c r="L36"/>
      <c r="M36"/>
      <c r="N36"/>
      <c r="Q36" s="17"/>
      <c r="R36"/>
    </row>
    <row r="37" spans="4:18">
      <c r="D37" s="206"/>
      <c r="E37" s="207"/>
      <c r="F37" s="205" t="str">
        <f>IF(SUM($D37:$E37)=0,"",IFERROR(INDEX('Model Calcuations'!$Z:$Z,MATCH($B37,'Model Calcuations'!$T:$T,0)),"non-core input specified"))</f>
        <v/>
      </c>
      <c r="G37" s="205" t="str">
        <f>IF(SUM($D37:$E37)=0,"",IFERROR(INDEX('Model Calcuations'!$AA:$AA,MATCH($B37,'Model Calcuations'!$T:$T,0)),"non-core input specified"))</f>
        <v/>
      </c>
      <c r="H37" s="205" t="str">
        <f>IF(SUM($D37:$E37)=0,"",IFERROR(INDEX('Model Calcuations'!$U:$U,MATCH($B37,'Model Calcuations'!$T:$T,0)),"non-core input specified"))</f>
        <v/>
      </c>
      <c r="I37" s="205"/>
      <c r="J37" s="208" t="str">
        <f t="shared" si="1"/>
        <v/>
      </c>
      <c r="K37" s="152" t="str">
        <f t="shared" si="0"/>
        <v/>
      </c>
      <c r="L37"/>
      <c r="M37"/>
      <c r="N37"/>
      <c r="Q37" s="17"/>
      <c r="R37"/>
    </row>
    <row r="38" spans="4:18">
      <c r="D38" s="206"/>
      <c r="E38" s="207"/>
      <c r="F38" s="205" t="str">
        <f>IF(SUM($D38:$E38)=0,"",IFERROR(INDEX('Model Calcuations'!$Z:$Z,MATCH($B38,'Model Calcuations'!$T:$T,0)),"non-core input specified"))</f>
        <v/>
      </c>
      <c r="G38" s="205" t="str">
        <f>IF(SUM($D38:$E38)=0,"",IFERROR(INDEX('Model Calcuations'!$AA:$AA,MATCH($B38,'Model Calcuations'!$T:$T,0)),"non-core input specified"))</f>
        <v/>
      </c>
      <c r="H38" s="205" t="str">
        <f>IF(SUM($D38:$E38)=0,"",IFERROR(INDEX('Model Calcuations'!$U:$U,MATCH($B38,'Model Calcuations'!$T:$T,0)),"non-core input specified"))</f>
        <v/>
      </c>
      <c r="I38" s="205"/>
      <c r="J38" s="208" t="str">
        <f t="shared" si="1"/>
        <v/>
      </c>
      <c r="K38" s="152" t="str">
        <f t="shared" si="0"/>
        <v/>
      </c>
      <c r="L38"/>
      <c r="M38"/>
      <c r="N38"/>
      <c r="Q38" s="17"/>
      <c r="R38"/>
    </row>
    <row r="39" spans="4:18">
      <c r="D39" s="206"/>
      <c r="E39" s="207"/>
      <c r="F39" s="205" t="str">
        <f>IF(SUM($D39:$E39)=0,"",IFERROR(INDEX('Model Calcuations'!$Z:$Z,MATCH($B39,'Model Calcuations'!$T:$T,0)),"non-core input specified"))</f>
        <v/>
      </c>
      <c r="G39" s="205" t="str">
        <f>IF(SUM($D39:$E39)=0,"",IFERROR(INDEX('Model Calcuations'!$AA:$AA,MATCH($B39,'Model Calcuations'!$T:$T,0)),"non-core input specified"))</f>
        <v/>
      </c>
      <c r="H39" s="205" t="str">
        <f>IF(SUM($D39:$E39)=0,"",IFERROR(INDEX('Model Calcuations'!$U:$U,MATCH($B39,'Model Calcuations'!$T:$T,0)),"non-core input specified"))</f>
        <v/>
      </c>
      <c r="I39" s="205"/>
      <c r="J39" s="208" t="str">
        <f t="shared" si="1"/>
        <v/>
      </c>
      <c r="K39" s="152" t="str">
        <f t="shared" si="0"/>
        <v/>
      </c>
      <c r="L39"/>
      <c r="M39"/>
      <c r="N39"/>
      <c r="Q39" s="17"/>
      <c r="R39"/>
    </row>
    <row r="40" spans="4:18">
      <c r="D40" s="206"/>
      <c r="E40" s="207"/>
      <c r="F40" s="205" t="str">
        <f>IF(SUM($D40:$E40)=0,"",IFERROR(INDEX('Model Calcuations'!$Z:$Z,MATCH($B40,'Model Calcuations'!$T:$T,0)),"non-core input specified"))</f>
        <v/>
      </c>
      <c r="G40" s="205" t="str">
        <f>IF(SUM($D40:$E40)=0,"",IFERROR(INDEX('Model Calcuations'!$AA:$AA,MATCH($B40,'Model Calcuations'!$T:$T,0)),"non-core input specified"))</f>
        <v/>
      </c>
      <c r="H40" s="205" t="str">
        <f>IF(SUM($D40:$E40)=0,"",IFERROR(INDEX('Model Calcuations'!$U:$U,MATCH($B40,'Model Calcuations'!$T:$T,0)),"non-core input specified"))</f>
        <v/>
      </c>
      <c r="I40" s="205"/>
      <c r="J40" s="208" t="str">
        <f t="shared" si="1"/>
        <v/>
      </c>
      <c r="K40" s="152" t="str">
        <f t="shared" si="0"/>
        <v/>
      </c>
      <c r="L40"/>
      <c r="M40"/>
      <c r="N40"/>
      <c r="Q40" s="17"/>
      <c r="R40"/>
    </row>
    <row r="41" spans="4:18">
      <c r="D41" s="206"/>
      <c r="E41" s="207"/>
      <c r="F41" s="205" t="str">
        <f>IF(SUM($D41:$E41)=0,"",IFERROR(INDEX('Model Calcuations'!$Z:$Z,MATCH($B41,'Model Calcuations'!$T:$T,0)),"non-core input specified"))</f>
        <v/>
      </c>
      <c r="G41" s="205" t="str">
        <f>IF(SUM($D41:$E41)=0,"",IFERROR(INDEX('Model Calcuations'!$AA:$AA,MATCH($B41,'Model Calcuations'!$T:$T,0)),"non-core input specified"))</f>
        <v/>
      </c>
      <c r="H41" s="205" t="str">
        <f>IF(SUM($D41:$E41)=0,"",IFERROR(INDEX('Model Calcuations'!$U:$U,MATCH($B41,'Model Calcuations'!$T:$T,0)),"non-core input specified"))</f>
        <v/>
      </c>
      <c r="I41" s="205"/>
      <c r="J41" s="208" t="str">
        <f t="shared" si="1"/>
        <v/>
      </c>
      <c r="K41" s="152" t="str">
        <f t="shared" si="0"/>
        <v/>
      </c>
      <c r="L41"/>
      <c r="M41"/>
      <c r="N41"/>
      <c r="Q41" s="17"/>
      <c r="R41"/>
    </row>
    <row r="42" spans="4:18">
      <c r="D42" s="206"/>
      <c r="E42" s="207"/>
      <c r="F42" s="205" t="str">
        <f>IF(SUM($D42:$E42)=0,"",IFERROR(INDEX('Model Calcuations'!$Z:$Z,MATCH($B42,'Model Calcuations'!$T:$T,0)),"non-core input specified"))</f>
        <v/>
      </c>
      <c r="G42" s="205" t="str">
        <f>IF(SUM($D42:$E42)=0,"",IFERROR(INDEX('Model Calcuations'!$AA:$AA,MATCH($B42,'Model Calcuations'!$T:$T,0)),"non-core input specified"))</f>
        <v/>
      </c>
      <c r="H42" s="205" t="str">
        <f>IF(SUM($D42:$E42)=0,"",IFERROR(INDEX('Model Calcuations'!$U:$U,MATCH($B42,'Model Calcuations'!$T:$T,0)),"non-core input specified"))</f>
        <v/>
      </c>
      <c r="I42" s="205"/>
      <c r="J42" s="208" t="str">
        <f t="shared" si="1"/>
        <v/>
      </c>
      <c r="K42" s="152" t="str">
        <f t="shared" si="0"/>
        <v/>
      </c>
      <c r="L42"/>
      <c r="M42"/>
      <c r="N42"/>
      <c r="Q42" s="17"/>
      <c r="R42"/>
    </row>
    <row r="43" spans="4:18">
      <c r="D43" s="206"/>
      <c r="E43" s="207"/>
      <c r="F43" s="205" t="str">
        <f>IF(SUM($D43:$E43)=0,"",IFERROR(INDEX('Model Calcuations'!$Z:$Z,MATCH($B43,'Model Calcuations'!$T:$T,0)),"non-core input specified"))</f>
        <v/>
      </c>
      <c r="G43" s="205" t="str">
        <f>IF(SUM($D43:$E43)=0,"",IFERROR(INDEX('Model Calcuations'!$AA:$AA,MATCH($B43,'Model Calcuations'!$T:$T,0)),"non-core input specified"))</f>
        <v/>
      </c>
      <c r="H43" s="205" t="str">
        <f>IF(SUM($D43:$E43)=0,"",IFERROR(INDEX('Model Calcuations'!$U:$U,MATCH($B43,'Model Calcuations'!$T:$T,0)),"non-core input specified"))</f>
        <v/>
      </c>
      <c r="I43" s="205"/>
      <c r="J43" s="208" t="str">
        <f t="shared" si="1"/>
        <v/>
      </c>
      <c r="K43" s="152" t="str">
        <f t="shared" si="0"/>
        <v/>
      </c>
      <c r="L43"/>
      <c r="M43"/>
      <c r="N43"/>
      <c r="Q43" s="17"/>
      <c r="R43"/>
    </row>
    <row r="44" spans="4:18">
      <c r="D44" s="206"/>
      <c r="E44" s="207"/>
      <c r="F44" s="205" t="str">
        <f>IF(SUM($D44:$E44)=0,"",IFERROR(INDEX('Model Calcuations'!$Z:$Z,MATCH($B44,'Model Calcuations'!$T:$T,0)),"non-core input specified"))</f>
        <v/>
      </c>
      <c r="G44" s="205" t="str">
        <f>IF(SUM($D44:$E44)=0,"",IFERROR(INDEX('Model Calcuations'!$AA:$AA,MATCH($B44,'Model Calcuations'!$T:$T,0)),"non-core input specified"))</f>
        <v/>
      </c>
      <c r="H44" s="205" t="str">
        <f>IF(SUM($D44:$E44)=0,"",IFERROR(INDEX('Model Calcuations'!$U:$U,MATCH($B44,'Model Calcuations'!$T:$T,0)),"non-core input specified"))</f>
        <v/>
      </c>
      <c r="I44" s="205"/>
      <c r="J44" s="208" t="str">
        <f t="shared" si="1"/>
        <v/>
      </c>
      <c r="K44" s="152" t="str">
        <f t="shared" si="0"/>
        <v/>
      </c>
      <c r="L44"/>
      <c r="M44"/>
      <c r="N44"/>
      <c r="Q44" s="17"/>
      <c r="R44"/>
    </row>
    <row r="45" spans="4:18">
      <c r="D45" s="206"/>
      <c r="E45" s="207"/>
      <c r="F45" s="205" t="str">
        <f>IF(SUM($D45:$E45)=0,"",IFERROR(INDEX('Model Calcuations'!$Z:$Z,MATCH($B45,'Model Calcuations'!$T:$T,0)),"non-core input specified"))</f>
        <v/>
      </c>
      <c r="G45" s="205" t="str">
        <f>IF(SUM($D45:$E45)=0,"",IFERROR(INDEX('Model Calcuations'!$AA:$AA,MATCH($B45,'Model Calcuations'!$T:$T,0)),"non-core input specified"))</f>
        <v/>
      </c>
      <c r="H45" s="205" t="str">
        <f>IF(SUM($D45:$E45)=0,"",IFERROR(INDEX('Model Calcuations'!$U:$U,MATCH($B45,'Model Calcuations'!$T:$T,0)),"non-core input specified"))</f>
        <v/>
      </c>
      <c r="I45" s="205"/>
      <c r="J45" s="208" t="str">
        <f t="shared" si="1"/>
        <v/>
      </c>
      <c r="K45" s="152" t="str">
        <f t="shared" si="0"/>
        <v/>
      </c>
      <c r="L45"/>
      <c r="M45"/>
      <c r="N45"/>
      <c r="Q45" s="17"/>
      <c r="R45"/>
    </row>
    <row r="46" spans="4:18">
      <c r="D46" s="206"/>
      <c r="E46" s="207"/>
      <c r="F46" s="205" t="str">
        <f>IF(SUM($D46:$E46)=0,"",IFERROR(INDEX('Model Calcuations'!$Z:$Z,MATCH($B46,'Model Calcuations'!$T:$T,0)),"non-core input specified"))</f>
        <v/>
      </c>
      <c r="G46" s="205" t="str">
        <f>IF(SUM($D46:$E46)=0,"",IFERROR(INDEX('Model Calcuations'!$AA:$AA,MATCH($B46,'Model Calcuations'!$T:$T,0)),"non-core input specified"))</f>
        <v/>
      </c>
      <c r="H46" s="205" t="str">
        <f>IF(SUM($D46:$E46)=0,"",IFERROR(INDEX('Model Calcuations'!$U:$U,MATCH($B46,'Model Calcuations'!$T:$T,0)),"non-core input specified"))</f>
        <v/>
      </c>
      <c r="I46" s="205"/>
      <c r="J46" s="208" t="str">
        <f t="shared" si="1"/>
        <v/>
      </c>
      <c r="K46" s="152" t="str">
        <f t="shared" si="0"/>
        <v/>
      </c>
      <c r="L46"/>
      <c r="M46"/>
      <c r="N46"/>
      <c r="Q46" s="17"/>
      <c r="R46"/>
    </row>
    <row r="47" spans="4:18">
      <c r="D47" s="206"/>
      <c r="E47" s="207"/>
      <c r="F47" s="205" t="str">
        <f>IF(SUM($D47:$E47)=0,"",IFERROR(INDEX('Model Calcuations'!$Z:$Z,MATCH($B47,'Model Calcuations'!$T:$T,0)),"non-core input specified"))</f>
        <v/>
      </c>
      <c r="G47" s="205" t="str">
        <f>IF(SUM($D47:$E47)=0,"",IFERROR(INDEX('Model Calcuations'!$AA:$AA,MATCH($B47,'Model Calcuations'!$T:$T,0)),"non-core input specified"))</f>
        <v/>
      </c>
      <c r="H47" s="205" t="str">
        <f>IF(SUM($D47:$E47)=0,"",IFERROR(INDEX('Model Calcuations'!$U:$U,MATCH($B47,'Model Calcuations'!$T:$T,0)),"non-core input specified"))</f>
        <v/>
      </c>
      <c r="I47" s="205"/>
      <c r="J47" s="208" t="str">
        <f t="shared" si="1"/>
        <v/>
      </c>
      <c r="K47" s="152" t="str">
        <f t="shared" si="0"/>
        <v/>
      </c>
      <c r="L47"/>
      <c r="M47"/>
      <c r="N47"/>
      <c r="Q47" s="17"/>
      <c r="R47"/>
    </row>
    <row r="48" spans="4:18">
      <c r="D48" s="206"/>
      <c r="E48" s="207"/>
      <c r="F48" s="205" t="str">
        <f>IF(SUM($D48:$E48)=0,"",IFERROR(INDEX('Model Calcuations'!$Z:$Z,MATCH($B48,'Model Calcuations'!$T:$T,0)),"non-core input specified"))</f>
        <v/>
      </c>
      <c r="G48" s="205" t="str">
        <f>IF(SUM($D48:$E48)=0,"",IFERROR(INDEX('Model Calcuations'!$AA:$AA,MATCH($B48,'Model Calcuations'!$T:$T,0)),"non-core input specified"))</f>
        <v/>
      </c>
      <c r="H48" s="205" t="str">
        <f>IF(SUM($D48:$E48)=0,"",IFERROR(INDEX('Model Calcuations'!$U:$U,MATCH($B48,'Model Calcuations'!$T:$T,0)),"non-core input specified"))</f>
        <v/>
      </c>
      <c r="I48" s="205"/>
      <c r="J48" s="208" t="str">
        <f t="shared" si="1"/>
        <v/>
      </c>
      <c r="K48" s="152" t="str">
        <f t="shared" si="0"/>
        <v/>
      </c>
      <c r="L48"/>
      <c r="M48"/>
      <c r="N48"/>
      <c r="Q48" s="17"/>
      <c r="R48"/>
    </row>
    <row r="49" spans="4:18">
      <c r="D49" s="206"/>
      <c r="E49" s="207"/>
      <c r="F49" s="205" t="str">
        <f>IF(SUM($D49:$E49)=0,"",IFERROR(INDEX('Model Calcuations'!$Z:$Z,MATCH($B49,'Model Calcuations'!$T:$T,0)),"non-core input specified"))</f>
        <v/>
      </c>
      <c r="G49" s="205" t="str">
        <f>IF(SUM($D49:$E49)=0,"",IFERROR(INDEX('Model Calcuations'!$AA:$AA,MATCH($B49,'Model Calcuations'!$T:$T,0)),"non-core input specified"))</f>
        <v/>
      </c>
      <c r="H49" s="205" t="str">
        <f>IF(SUM($D49:$E49)=0,"",IFERROR(INDEX('Model Calcuations'!$U:$U,MATCH($B49,'Model Calcuations'!$T:$T,0)),"non-core input specified"))</f>
        <v/>
      </c>
      <c r="I49" s="205"/>
      <c r="J49" s="208" t="str">
        <f t="shared" si="1"/>
        <v/>
      </c>
      <c r="K49" s="152" t="str">
        <f t="shared" si="0"/>
        <v/>
      </c>
      <c r="L49"/>
      <c r="M49"/>
      <c r="N49"/>
      <c r="Q49" s="17"/>
      <c r="R49"/>
    </row>
    <row r="50" spans="4:18">
      <c r="D50" s="206"/>
      <c r="E50" s="207"/>
      <c r="F50" s="205" t="str">
        <f>IF(SUM($D50:$E50)=0,"",IFERROR(INDEX('Model Calcuations'!$Z:$Z,MATCH($B50,'Model Calcuations'!$T:$T,0)),"non-core input specified"))</f>
        <v/>
      </c>
      <c r="G50" s="205" t="str">
        <f>IF(SUM($D50:$E50)=0,"",IFERROR(INDEX('Model Calcuations'!$AA:$AA,MATCH($B50,'Model Calcuations'!$T:$T,0)),"non-core input specified"))</f>
        <v/>
      </c>
      <c r="H50" s="205" t="str">
        <f>IF(SUM($D50:$E50)=0,"",IFERROR(INDEX('Model Calcuations'!$U:$U,MATCH($B50,'Model Calcuations'!$T:$T,0)),"non-core input specified"))</f>
        <v/>
      </c>
      <c r="I50" s="205"/>
      <c r="J50" s="208" t="str">
        <f t="shared" si="1"/>
        <v/>
      </c>
      <c r="K50" s="152" t="str">
        <f t="shared" si="0"/>
        <v/>
      </c>
    </row>
    <row r="51" spans="4:18">
      <c r="D51" s="206"/>
      <c r="E51" s="207"/>
      <c r="F51" s="205" t="str">
        <f>IF(SUM($D51:$E51)=0,"",IFERROR(INDEX('Model Calcuations'!$Z:$Z,MATCH($B51,'Model Calcuations'!$T:$T,0)),"non-core input specified"))</f>
        <v/>
      </c>
      <c r="G51" s="205" t="str">
        <f>IF(SUM($D51:$E51)=0,"",IFERROR(INDEX('Model Calcuations'!$AA:$AA,MATCH($B51,'Model Calcuations'!$T:$T,0)),"non-core input specified"))</f>
        <v/>
      </c>
      <c r="H51" s="205" t="str">
        <f>IF(SUM($D51:$E51)=0,"",IFERROR(INDEX('Model Calcuations'!$U:$U,MATCH($B51,'Model Calcuations'!$T:$T,0)),"non-core input specified"))</f>
        <v/>
      </c>
      <c r="I51" s="205"/>
      <c r="J51" s="208" t="str">
        <f t="shared" si="1"/>
        <v/>
      </c>
      <c r="K51" s="152" t="str">
        <f t="shared" si="0"/>
        <v/>
      </c>
    </row>
    <row r="52" spans="4:18">
      <c r="D52" s="206"/>
      <c r="E52" s="207"/>
      <c r="F52" s="205" t="str">
        <f>IF(SUM($D52:$E52)=0,"",IFERROR(INDEX('Model Calcuations'!$Z:$Z,MATCH($B52,'Model Calcuations'!$T:$T,0)),"non-core input specified"))</f>
        <v/>
      </c>
      <c r="G52" s="205" t="str">
        <f>IF(SUM($D52:$E52)=0,"",IFERROR(INDEX('Model Calcuations'!$AA:$AA,MATCH($B52,'Model Calcuations'!$T:$T,0)),"non-core input specified"))</f>
        <v/>
      </c>
      <c r="H52" s="205" t="str">
        <f>IF(SUM($D52:$E52)=0,"",IFERROR(INDEX('Model Calcuations'!$U:$U,MATCH($B52,'Model Calcuations'!$T:$T,0)),"non-core input specified"))</f>
        <v/>
      </c>
      <c r="I52" s="205"/>
      <c r="J52" s="208" t="str">
        <f t="shared" si="1"/>
        <v/>
      </c>
      <c r="K52" s="152" t="str">
        <f t="shared" si="0"/>
        <v/>
      </c>
    </row>
    <row r="53" spans="4:18">
      <c r="D53" s="123"/>
      <c r="E53" s="123"/>
      <c r="F53" s="122"/>
      <c r="G53" s="122"/>
      <c r="H53" s="122"/>
      <c r="I53" s="122"/>
    </row>
    <row r="54" spans="4:18">
      <c r="D54" s="123"/>
      <c r="E54" s="123"/>
      <c r="F54" s="122"/>
      <c r="G54" s="122"/>
      <c r="H54" s="122"/>
      <c r="I54" s="122"/>
    </row>
    <row r="55" spans="4:18">
      <c r="D55" s="123"/>
      <c r="E55" s="123"/>
      <c r="F55" s="122"/>
      <c r="G55" s="122"/>
      <c r="H55" s="122"/>
      <c r="I55" s="122"/>
    </row>
    <row r="56" spans="4:18">
      <c r="D56" s="123"/>
      <c r="E56" s="123"/>
      <c r="F56" s="122"/>
      <c r="G56" s="122"/>
      <c r="H56" s="122"/>
      <c r="I56" s="122"/>
    </row>
    <row r="57" spans="4:18">
      <c r="D57" s="123"/>
      <c r="E57" s="123"/>
      <c r="F57" s="122"/>
      <c r="G57" s="122"/>
      <c r="H57" s="122"/>
      <c r="I57" s="122"/>
    </row>
    <row r="58" spans="4:18">
      <c r="D58" s="123"/>
      <c r="E58" s="123"/>
      <c r="F58" s="122"/>
      <c r="G58" s="122"/>
      <c r="H58" s="122"/>
      <c r="I58" s="122"/>
    </row>
    <row r="59" spans="4:18">
      <c r="D59" s="123"/>
      <c r="E59" s="123"/>
      <c r="F59" s="122"/>
      <c r="G59" s="122"/>
      <c r="H59" s="122"/>
      <c r="I59" s="122"/>
    </row>
    <row r="60" spans="4:18">
      <c r="D60" s="123"/>
      <c r="E60" s="123"/>
      <c r="F60" s="122"/>
      <c r="G60" s="122"/>
      <c r="H60" s="122"/>
      <c r="I60" s="122"/>
    </row>
    <row r="61" spans="4:18">
      <c r="D61" s="123"/>
      <c r="E61" s="123"/>
      <c r="F61" s="122"/>
      <c r="G61" s="122"/>
      <c r="H61" s="122"/>
      <c r="I61" s="122"/>
    </row>
    <row r="62" spans="4:18">
      <c r="D62" s="123"/>
      <c r="E62" s="123"/>
      <c r="F62" s="122"/>
      <c r="G62" s="122"/>
      <c r="H62" s="122"/>
      <c r="I62" s="122"/>
    </row>
    <row r="63" spans="4:18">
      <c r="D63" s="123"/>
      <c r="E63" s="123"/>
      <c r="F63" s="122"/>
      <c r="G63" s="122"/>
      <c r="H63" s="122"/>
      <c r="I63" s="122"/>
    </row>
    <row r="64" spans="4:18">
      <c r="D64" s="123"/>
      <c r="E64" s="123"/>
      <c r="F64" s="122"/>
      <c r="G64" s="122"/>
      <c r="H64" s="122"/>
      <c r="I64" s="122"/>
    </row>
    <row r="65" spans="4:9">
      <c r="D65" s="123"/>
      <c r="E65" s="123"/>
      <c r="F65" s="122"/>
      <c r="G65" s="122"/>
      <c r="H65" s="122"/>
      <c r="I65" s="122"/>
    </row>
    <row r="66" spans="4:9">
      <c r="D66" s="123"/>
      <c r="E66" s="123"/>
      <c r="F66" s="122"/>
      <c r="G66" s="122"/>
      <c r="H66" s="122"/>
      <c r="I66" s="122"/>
    </row>
    <row r="67" spans="4:9">
      <c r="D67" s="123"/>
      <c r="E67" s="123"/>
      <c r="F67" s="122"/>
      <c r="G67" s="122"/>
      <c r="H67" s="122"/>
      <c r="I67" s="122"/>
    </row>
    <row r="68" spans="4:9">
      <c r="D68" s="123"/>
      <c r="E68" s="123"/>
      <c r="F68" s="122"/>
      <c r="G68" s="122"/>
      <c r="H68" s="122"/>
      <c r="I68" s="122"/>
    </row>
    <row r="69" spans="4:9">
      <c r="D69" s="123"/>
      <c r="E69" s="123"/>
      <c r="F69" s="122"/>
      <c r="G69" s="122"/>
      <c r="H69" s="122"/>
      <c r="I69" s="122"/>
    </row>
    <row r="70" spans="4:9">
      <c r="D70" s="123"/>
      <c r="E70" s="123"/>
      <c r="F70" s="122"/>
      <c r="G70" s="122"/>
      <c r="H70" s="122"/>
      <c r="I70" s="122"/>
    </row>
    <row r="71" spans="4:9">
      <c r="D71" s="123"/>
      <c r="E71" s="123"/>
      <c r="F71" s="122"/>
      <c r="G71" s="122"/>
      <c r="H71" s="122"/>
      <c r="I71" s="122"/>
    </row>
    <row r="72" spans="4:9">
      <c r="D72" s="123"/>
      <c r="E72" s="123"/>
      <c r="F72" s="122"/>
      <c r="G72" s="122"/>
      <c r="H72" s="122"/>
      <c r="I72" s="122"/>
    </row>
    <row r="73" spans="4:9">
      <c r="D73" s="123"/>
      <c r="E73" s="123"/>
      <c r="F73" s="122"/>
      <c r="G73" s="122"/>
      <c r="H73" s="122"/>
      <c r="I73" s="122"/>
    </row>
    <row r="74" spans="4:9">
      <c r="D74" s="123"/>
      <c r="E74" s="123"/>
      <c r="F74" s="122"/>
      <c r="G74" s="122"/>
      <c r="H74" s="122"/>
      <c r="I74" s="122"/>
    </row>
    <row r="75" spans="4:9">
      <c r="D75" s="123"/>
      <c r="E75" s="123"/>
      <c r="F75" s="122"/>
      <c r="G75" s="122"/>
      <c r="H75" s="122"/>
      <c r="I75" s="122"/>
    </row>
    <row r="76" spans="4:9">
      <c r="D76" s="123"/>
      <c r="E76" s="123"/>
      <c r="F76" s="122"/>
      <c r="G76" s="122"/>
      <c r="H76" s="122"/>
      <c r="I76" s="122"/>
    </row>
    <row r="77" spans="4:9">
      <c r="D77" s="123"/>
      <c r="E77" s="123"/>
      <c r="F77" s="122"/>
      <c r="G77" s="122"/>
      <c r="H77" s="122"/>
      <c r="I77" s="122"/>
    </row>
    <row r="78" spans="4:9">
      <c r="D78" s="123"/>
      <c r="E78" s="123"/>
      <c r="F78" s="122"/>
      <c r="G78" s="122"/>
      <c r="H78" s="122"/>
      <c r="I78" s="122"/>
    </row>
    <row r="79" spans="4:9">
      <c r="D79" s="123"/>
      <c r="E79" s="123"/>
      <c r="F79" s="122"/>
      <c r="G79" s="122"/>
      <c r="H79" s="122"/>
      <c r="I79" s="122"/>
    </row>
    <row r="80" spans="4:9">
      <c r="D80" s="123"/>
      <c r="E80" s="123"/>
      <c r="F80" s="122"/>
      <c r="G80" s="122"/>
      <c r="H80" s="122"/>
      <c r="I80" s="122"/>
    </row>
    <row r="81" spans="4:9">
      <c r="D81" s="123"/>
      <c r="E81" s="123"/>
      <c r="F81" s="122"/>
      <c r="G81" s="122"/>
      <c r="H81" s="122"/>
      <c r="I81" s="122"/>
    </row>
    <row r="82" spans="4:9">
      <c r="D82" s="123"/>
      <c r="E82" s="123"/>
      <c r="F82" s="122"/>
      <c r="G82" s="122"/>
      <c r="H82" s="122"/>
      <c r="I82" s="122"/>
    </row>
    <row r="83" spans="4:9">
      <c r="D83" s="123"/>
      <c r="E83" s="123"/>
      <c r="F83" s="122"/>
      <c r="G83" s="122"/>
      <c r="H83" s="122"/>
      <c r="I83" s="122"/>
    </row>
    <row r="84" spans="4:9">
      <c r="D84" s="123"/>
      <c r="E84" s="123"/>
      <c r="F84" s="122"/>
      <c r="G84" s="122"/>
      <c r="H84" s="122"/>
      <c r="I84" s="122"/>
    </row>
  </sheetData>
  <mergeCells count="2">
    <mergeCell ref="F11:G11"/>
    <mergeCell ref="D11:E11"/>
  </mergeCells>
  <conditionalFormatting sqref="B1:B3 B5:B1048576">
    <cfRule type="duplicateValues" dxfId="9" priority="5"/>
  </conditionalFormatting>
  <conditionalFormatting sqref="B4">
    <cfRule type="duplicateValues" dxfId="8" priority="1"/>
  </conditionalFormatting>
  <conditionalFormatting sqref="F9:I9 F9:F11 H11:I19 F13:I84 G1:N8 J11:J12 L50:N52 J53:N53 G54:N1048576">
    <cfRule type="containsText" dxfId="7" priority="12" operator="containsText" text="non-">
      <formula>NOT(ISERROR(SEARCH("non-",F1)))</formula>
    </cfRule>
  </conditionalFormatting>
  <conditionalFormatting sqref="F9:I9 F10 F13:I52">
    <cfRule type="expression" dxfId="6" priority="4">
      <formula>NOT(_xlfn.ISFORMULA(F9))</formula>
    </cfRule>
  </conditionalFormatting>
  <pageMargins left="0.7" right="0.7" top="0.75" bottom="0.75" header="0.3" footer="0.3"/>
  <pageSetup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0BC7801-E1A1-4694-8C49-FC5788E1E800}">
          <x14:formula1>
            <xm:f>'Model Calcuations'!$FX$8:$FX$29</xm:f>
          </x14:formula1>
          <xm:sqref>B13:B52</xm:sqref>
        </x14:dataValidation>
        <x14:dataValidation type="list" allowBlank="1" showInputMessage="1" showErrorMessage="1" xr:uid="{5D35451B-B70F-431B-9501-B9EDCC8FDFB7}">
          <x14:formula1>
            <xm:f>'Model Calcuations'!$FZ$8:$FZ$10</xm:f>
          </x14:formula1>
          <xm:sqref>I9 I13:I52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33CEC-BD9C-4B71-AA4B-42207B8F3FD9}">
  <dimension ref="B1:T488"/>
  <sheetViews>
    <sheetView showGridLines="0" zoomScaleNormal="100" workbookViewId="0"/>
  </sheetViews>
  <sheetFormatPr defaultColWidth="9.109375" defaultRowHeight="14.4"/>
  <cols>
    <col min="1" max="1" width="1.6640625" customWidth="1"/>
    <col min="2" max="2" width="35.6640625" customWidth="1"/>
    <col min="3" max="3" width="123.21875" bestFit="1" customWidth="1"/>
    <col min="4" max="4" width="18.21875" bestFit="1" customWidth="1"/>
    <col min="5" max="5" width="5.5546875" style="17" bestFit="1" customWidth="1"/>
    <col min="6" max="6" width="5.77734375" style="17" bestFit="1" customWidth="1"/>
    <col min="7" max="7" width="18.21875" style="17" bestFit="1" customWidth="1"/>
    <col min="8" max="8" width="7.88671875" style="17" bestFit="1" customWidth="1"/>
    <col min="9" max="11" width="6.33203125" style="17" bestFit="1" customWidth="1"/>
    <col min="12" max="12" width="6.33203125" style="131" bestFit="1" customWidth="1"/>
    <col min="13" max="16" width="6.33203125" bestFit="1" customWidth="1"/>
  </cols>
  <sheetData>
    <row r="1" spans="2:20" ht="36.6">
      <c r="B1" s="25" t="str" cm="1">
        <f t="array" aca="1" ref="B1" ca="1">_xlfn.TEXTAFTER(CELL("filename",B1),"]")</f>
        <v>Glossary</v>
      </c>
      <c r="C1" s="11"/>
      <c r="D1" s="11"/>
      <c r="E1" s="67"/>
      <c r="F1" s="67"/>
      <c r="G1" s="67"/>
      <c r="H1" s="67"/>
      <c r="I1" s="67"/>
      <c r="J1" s="67"/>
      <c r="K1" s="67"/>
      <c r="L1" s="130"/>
      <c r="M1" s="11"/>
      <c r="N1" s="11"/>
      <c r="O1" s="11"/>
      <c r="P1" s="11"/>
      <c r="Q1" s="11"/>
      <c r="R1" s="11"/>
      <c r="S1" s="11"/>
      <c r="T1" s="11"/>
    </row>
    <row r="2" spans="2:20" ht="15.6">
      <c r="B2" s="26" t="s">
        <v>166</v>
      </c>
      <c r="C2" s="12"/>
      <c r="D2" s="12"/>
      <c r="E2" s="67"/>
      <c r="F2" s="67"/>
      <c r="G2" s="67"/>
      <c r="H2" s="67"/>
      <c r="I2" s="67"/>
      <c r="J2" s="67"/>
      <c r="K2" s="67"/>
      <c r="L2" s="130"/>
      <c r="M2" s="11"/>
      <c r="N2" s="11"/>
      <c r="O2" s="11"/>
      <c r="P2" s="11"/>
      <c r="Q2" s="11"/>
      <c r="R2" s="11"/>
      <c r="S2" s="11"/>
      <c r="T2" s="11"/>
    </row>
    <row r="3" spans="2:20">
      <c r="B3" s="13"/>
      <c r="C3" s="12"/>
      <c r="D3" s="12"/>
      <c r="E3" s="67"/>
      <c r="F3" s="67"/>
      <c r="G3" s="67"/>
      <c r="H3" s="67"/>
      <c r="I3" s="67"/>
      <c r="J3" s="67"/>
      <c r="K3" s="67"/>
      <c r="L3" s="130"/>
      <c r="M3" s="11"/>
      <c r="N3" s="11"/>
      <c r="O3" s="11"/>
      <c r="P3" s="11"/>
      <c r="Q3" s="11"/>
      <c r="R3" s="11"/>
      <c r="S3" s="11"/>
      <c r="T3" s="11"/>
    </row>
    <row r="4" spans="2:20">
      <c r="B4" s="14" t="str" cm="1">
        <f t="array" aca="1" ref="B4" ca="1" xml:space="preserve"> HYPERLINK("#'" &amp; _xlfn.TEXTAFTER(CELL("filename",'Home Page'!$A$1),"]") &amp; "'!A1","Back to Home Page")</f>
        <v>Back to Home Page</v>
      </c>
      <c r="C4" s="12"/>
      <c r="D4" s="12"/>
      <c r="E4" s="67"/>
      <c r="F4" s="67"/>
      <c r="G4" s="67"/>
      <c r="H4" s="67"/>
      <c r="I4" s="67"/>
      <c r="J4" s="67"/>
      <c r="K4" s="67"/>
      <c r="L4" s="130"/>
      <c r="M4" s="11"/>
      <c r="N4" s="11"/>
      <c r="O4" s="11"/>
      <c r="P4" s="11"/>
      <c r="Q4" s="11"/>
      <c r="R4" s="11"/>
      <c r="S4" s="11"/>
      <c r="T4" s="11"/>
    </row>
    <row r="5" spans="2:20">
      <c r="B5" s="13"/>
      <c r="C5" s="12"/>
      <c r="D5" s="12"/>
      <c r="E5" s="67"/>
      <c r="F5" s="67"/>
      <c r="G5" s="67"/>
      <c r="H5" s="67"/>
      <c r="I5" s="67"/>
      <c r="J5" s="67"/>
      <c r="K5" s="67"/>
      <c r="L5" s="130"/>
      <c r="M5" s="11"/>
      <c r="N5" s="11"/>
      <c r="O5" s="11"/>
      <c r="P5" s="11"/>
      <c r="Q5" s="11"/>
      <c r="R5" s="11"/>
      <c r="S5" s="11"/>
      <c r="T5" s="11"/>
    </row>
    <row r="7" spans="2:20" s="18" customFormat="1" ht="21" customHeight="1">
      <c r="B7" s="259" t="s">
        <v>152</v>
      </c>
      <c r="C7" s="260" t="s">
        <v>4</v>
      </c>
      <c r="E7" s="261"/>
      <c r="F7" s="261"/>
      <c r="G7" s="261"/>
      <c r="H7" s="261"/>
      <c r="I7" s="261"/>
      <c r="J7" s="261"/>
      <c r="K7" s="261"/>
      <c r="L7" s="262"/>
    </row>
    <row r="8" spans="2:20" s="244" customFormat="1" ht="21" customHeight="1">
      <c r="B8" s="263" t="s">
        <v>62</v>
      </c>
      <c r="C8" s="264" t="s">
        <v>168</v>
      </c>
      <c r="D8" s="252"/>
      <c r="E8" s="252"/>
      <c r="F8" s="253"/>
      <c r="G8" s="253"/>
      <c r="H8" s="253"/>
      <c r="I8" s="253"/>
      <c r="J8" s="253"/>
      <c r="K8" s="253"/>
      <c r="L8" s="253"/>
      <c r="M8" s="253"/>
      <c r="N8" s="253"/>
      <c r="O8" s="253"/>
      <c r="P8" s="253"/>
    </row>
    <row r="9" spans="2:20" s="244" customFormat="1" ht="21" customHeight="1">
      <c r="B9" s="265" t="s">
        <v>167</v>
      </c>
      <c r="C9" s="266" t="s">
        <v>153</v>
      </c>
      <c r="D9" s="252"/>
      <c r="E9" s="252"/>
      <c r="F9" s="253"/>
      <c r="G9" s="253"/>
      <c r="H9" s="253"/>
      <c r="I9" s="253"/>
      <c r="J9" s="253"/>
      <c r="K9" s="253"/>
      <c r="L9" s="253"/>
      <c r="M9" s="253"/>
      <c r="N9" s="253"/>
      <c r="O9" s="253"/>
      <c r="P9" s="253"/>
    </row>
    <row r="10" spans="2:20" s="244" customFormat="1" ht="21" customHeight="1">
      <c r="B10" s="265" t="s">
        <v>61</v>
      </c>
      <c r="C10" s="266" t="s">
        <v>169</v>
      </c>
      <c r="D10" s="252"/>
      <c r="E10" s="252"/>
      <c r="F10" s="253"/>
      <c r="G10" s="253"/>
      <c r="H10" s="253"/>
      <c r="I10" s="253"/>
      <c r="J10" s="254"/>
      <c r="K10" s="255"/>
      <c r="L10" s="256"/>
    </row>
    <row r="11" spans="2:20" s="244" customFormat="1" ht="21" customHeight="1">
      <c r="B11" s="265" t="s">
        <v>134</v>
      </c>
      <c r="C11" s="266" t="s">
        <v>154</v>
      </c>
      <c r="D11" s="252"/>
      <c r="E11" s="252"/>
      <c r="F11" s="253"/>
      <c r="G11" s="253"/>
      <c r="H11" s="253"/>
      <c r="I11" s="253"/>
      <c r="J11" s="254"/>
      <c r="K11" s="255"/>
      <c r="L11" s="256"/>
    </row>
    <row r="12" spans="2:20" s="244" customFormat="1" ht="21" customHeight="1">
      <c r="B12" s="265" t="s">
        <v>74</v>
      </c>
      <c r="C12" s="266" t="s">
        <v>155</v>
      </c>
      <c r="D12" s="252"/>
      <c r="E12" s="252"/>
      <c r="F12" s="253"/>
      <c r="G12" s="253"/>
      <c r="H12" s="253"/>
      <c r="I12" s="253"/>
      <c r="J12" s="254"/>
      <c r="K12" s="255"/>
      <c r="L12" s="256"/>
    </row>
    <row r="13" spans="2:20" s="244" customFormat="1" ht="21" customHeight="1">
      <c r="B13" s="265" t="s">
        <v>165</v>
      </c>
      <c r="C13" s="266" t="s">
        <v>170</v>
      </c>
      <c r="D13" s="257"/>
      <c r="E13" s="252"/>
      <c r="F13" s="253"/>
      <c r="G13" s="253"/>
      <c r="H13" s="253"/>
      <c r="I13" s="253"/>
      <c r="J13" s="254"/>
      <c r="K13" s="255"/>
      <c r="L13" s="256"/>
    </row>
    <row r="14" spans="2:20" s="244" customFormat="1" ht="21" customHeight="1">
      <c r="B14" s="265" t="s">
        <v>59</v>
      </c>
      <c r="C14" s="266" t="s">
        <v>171</v>
      </c>
      <c r="D14" s="257"/>
      <c r="E14" s="252"/>
      <c r="F14" s="253"/>
      <c r="G14" s="253"/>
      <c r="H14" s="253"/>
      <c r="I14" s="253"/>
      <c r="J14" s="254"/>
      <c r="K14" s="255"/>
      <c r="L14" s="256"/>
    </row>
    <row r="15" spans="2:20" s="244" customFormat="1" ht="21" customHeight="1">
      <c r="B15" s="265" t="s">
        <v>58</v>
      </c>
      <c r="C15" s="266" t="s">
        <v>156</v>
      </c>
      <c r="D15" s="257"/>
      <c r="E15" s="252"/>
      <c r="F15" s="253"/>
      <c r="G15" s="253"/>
      <c r="H15" s="253"/>
      <c r="I15" s="253"/>
      <c r="J15" s="254"/>
      <c r="K15" s="255"/>
      <c r="L15" s="256"/>
    </row>
    <row r="16" spans="2:20" s="244" customFormat="1" ht="21" customHeight="1">
      <c r="B16" s="265" t="s">
        <v>135</v>
      </c>
      <c r="C16" s="266" t="s">
        <v>157</v>
      </c>
      <c r="D16" s="257"/>
      <c r="E16" s="252"/>
      <c r="F16" s="253"/>
      <c r="G16" s="253"/>
      <c r="H16" s="253"/>
      <c r="I16" s="253"/>
      <c r="J16" s="254"/>
      <c r="K16" s="255"/>
      <c r="L16" s="256"/>
    </row>
    <row r="17" spans="2:12" s="244" customFormat="1" ht="21" customHeight="1">
      <c r="B17" s="265" t="s">
        <v>129</v>
      </c>
      <c r="C17" s="266" t="s">
        <v>172</v>
      </c>
      <c r="D17" s="257"/>
      <c r="E17" s="252"/>
      <c r="F17" s="253"/>
      <c r="G17" s="253"/>
      <c r="H17" s="253"/>
      <c r="I17" s="253"/>
      <c r="J17" s="254"/>
      <c r="K17" s="255"/>
      <c r="L17" s="256"/>
    </row>
    <row r="18" spans="2:12" s="244" customFormat="1" ht="21" customHeight="1">
      <c r="B18" s="265" t="s">
        <v>80</v>
      </c>
      <c r="C18" s="266" t="s">
        <v>158</v>
      </c>
      <c r="D18" s="257"/>
      <c r="E18" s="252"/>
      <c r="F18" s="253"/>
      <c r="G18" s="253"/>
      <c r="H18" s="253"/>
      <c r="I18" s="253"/>
      <c r="J18" s="254"/>
      <c r="K18" s="255"/>
      <c r="L18" s="256"/>
    </row>
    <row r="19" spans="2:12" s="244" customFormat="1" ht="62.4" customHeight="1">
      <c r="B19" s="265" t="s">
        <v>31</v>
      </c>
      <c r="C19" s="266" t="s">
        <v>164</v>
      </c>
      <c r="D19" s="257"/>
      <c r="E19" s="252"/>
      <c r="F19" s="253"/>
      <c r="G19" s="253"/>
      <c r="H19" s="253"/>
      <c r="I19" s="253"/>
      <c r="J19" s="254"/>
      <c r="K19" s="255"/>
      <c r="L19" s="256"/>
    </row>
    <row r="20" spans="2:12" s="244" customFormat="1" ht="34.200000000000003" customHeight="1">
      <c r="B20" s="265" t="s">
        <v>33</v>
      </c>
      <c r="C20" s="266" t="s">
        <v>173</v>
      </c>
      <c r="D20" s="257"/>
      <c r="E20" s="252"/>
      <c r="F20" s="253"/>
      <c r="G20" s="253"/>
      <c r="H20" s="253"/>
      <c r="I20" s="253"/>
      <c r="J20" s="254"/>
      <c r="K20" s="255"/>
      <c r="L20" s="256"/>
    </row>
    <row r="21" spans="2:12" s="244" customFormat="1" ht="20.399999999999999" customHeight="1">
      <c r="B21" s="265" t="s">
        <v>37</v>
      </c>
      <c r="C21" s="266" t="s">
        <v>174</v>
      </c>
      <c r="D21" s="257"/>
      <c r="E21" s="252"/>
      <c r="F21" s="253"/>
      <c r="G21" s="253"/>
      <c r="H21" s="253"/>
      <c r="I21" s="253"/>
      <c r="J21" s="254"/>
      <c r="K21" s="255"/>
      <c r="L21" s="256"/>
    </row>
    <row r="22" spans="2:12" s="244" customFormat="1" ht="20.399999999999999" customHeight="1">
      <c r="B22" s="265" t="s">
        <v>39</v>
      </c>
      <c r="C22" s="267" t="s">
        <v>159</v>
      </c>
      <c r="D22" s="257"/>
      <c r="E22" s="252"/>
      <c r="F22" s="253"/>
      <c r="G22" s="253"/>
      <c r="H22" s="253"/>
      <c r="I22" s="253"/>
      <c r="J22" s="254"/>
      <c r="K22" s="255"/>
      <c r="L22" s="256"/>
    </row>
    <row r="23" spans="2:12" ht="20.399999999999999" customHeight="1">
      <c r="B23" s="265" t="s">
        <v>41</v>
      </c>
      <c r="C23" s="266" t="s">
        <v>160</v>
      </c>
      <c r="D23" s="43"/>
      <c r="E23" s="138"/>
      <c r="F23" s="112"/>
      <c r="G23" s="112"/>
      <c r="H23" s="112"/>
      <c r="I23" s="112"/>
      <c r="J23" s="133"/>
      <c r="K23" s="96"/>
      <c r="L23" s="134"/>
    </row>
    <row r="24" spans="2:12" s="244" customFormat="1" ht="20.399999999999999" customHeight="1">
      <c r="B24" s="265" t="s">
        <v>43</v>
      </c>
      <c r="C24" s="266" t="s">
        <v>175</v>
      </c>
      <c r="D24" s="257"/>
      <c r="E24" s="258"/>
      <c r="F24" s="253"/>
      <c r="G24" s="253"/>
      <c r="H24" s="253"/>
      <c r="I24" s="253"/>
      <c r="J24" s="254"/>
      <c r="K24" s="255"/>
      <c r="L24" s="256"/>
    </row>
    <row r="25" spans="2:12" s="244" customFormat="1" ht="20.399999999999999" customHeight="1">
      <c r="B25" s="265" t="s">
        <v>45</v>
      </c>
      <c r="C25" s="266" t="s">
        <v>176</v>
      </c>
      <c r="D25" s="257"/>
      <c r="E25" s="252"/>
      <c r="F25" s="253"/>
      <c r="G25" s="253"/>
      <c r="H25" s="253"/>
      <c r="I25" s="253"/>
      <c r="J25" s="254"/>
      <c r="K25" s="255"/>
      <c r="L25" s="256"/>
    </row>
    <row r="26" spans="2:12" s="244" customFormat="1" ht="20.399999999999999" customHeight="1">
      <c r="B26" s="268" t="s">
        <v>47</v>
      </c>
      <c r="C26" s="266" t="s">
        <v>177</v>
      </c>
      <c r="D26" s="257"/>
      <c r="E26" s="252"/>
      <c r="F26" s="253"/>
      <c r="G26" s="253"/>
      <c r="H26" s="253"/>
      <c r="I26" s="253"/>
      <c r="J26" s="254"/>
      <c r="K26" s="255"/>
      <c r="L26" s="256"/>
    </row>
    <row r="27" spans="2:12" s="244" customFormat="1" ht="48.6" customHeight="1">
      <c r="B27" s="268" t="s">
        <v>49</v>
      </c>
      <c r="C27" s="266" t="s">
        <v>161</v>
      </c>
      <c r="D27" s="257"/>
      <c r="E27" s="252"/>
      <c r="F27" s="253"/>
      <c r="G27" s="253"/>
      <c r="H27" s="253"/>
      <c r="I27" s="253"/>
      <c r="J27" s="254"/>
      <c r="K27" s="255"/>
      <c r="L27" s="256"/>
    </row>
    <row r="28" spans="2:12" s="244" customFormat="1" ht="53.4" customHeight="1">
      <c r="B28" s="268" t="s">
        <v>51</v>
      </c>
      <c r="C28" s="266" t="s">
        <v>163</v>
      </c>
      <c r="D28" s="257"/>
      <c r="E28" s="252"/>
      <c r="F28" s="253"/>
      <c r="G28" s="253"/>
      <c r="H28" s="253"/>
      <c r="I28" s="253"/>
      <c r="J28" s="254"/>
      <c r="K28" s="255"/>
      <c r="L28" s="256"/>
    </row>
    <row r="29" spans="2:12" s="244" customFormat="1" ht="19.8" customHeight="1">
      <c r="B29" s="269" t="s">
        <v>53</v>
      </c>
      <c r="C29" s="270" t="s">
        <v>162</v>
      </c>
      <c r="D29" s="257"/>
      <c r="E29" s="252"/>
      <c r="F29" s="253"/>
      <c r="G29" s="253"/>
      <c r="H29" s="253"/>
      <c r="I29" s="253"/>
      <c r="J29" s="254"/>
      <c r="K29" s="255"/>
      <c r="L29" s="256"/>
    </row>
    <row r="30" spans="2:12">
      <c r="C30" s="18"/>
      <c r="D30" s="43"/>
      <c r="E30" s="138"/>
      <c r="F30" s="112"/>
      <c r="G30" s="112"/>
      <c r="H30" s="112"/>
      <c r="I30" s="112"/>
      <c r="J30" s="133"/>
      <c r="K30" s="96"/>
      <c r="L30" s="134"/>
    </row>
    <row r="31" spans="2:12">
      <c r="C31" s="248"/>
      <c r="D31" s="43"/>
      <c r="E31" s="138"/>
      <c r="F31" s="112"/>
      <c r="G31" s="112"/>
      <c r="H31" s="112"/>
      <c r="I31" s="112"/>
      <c r="J31" s="133"/>
      <c r="K31" s="96"/>
      <c r="L31" s="134"/>
    </row>
    <row r="32" spans="2:12">
      <c r="C32" s="18"/>
      <c r="D32" s="43"/>
      <c r="E32" s="138"/>
      <c r="F32" s="112"/>
      <c r="G32" s="112"/>
      <c r="H32" s="112"/>
      <c r="I32" s="112"/>
      <c r="J32" s="133"/>
      <c r="K32" s="96"/>
      <c r="L32" s="134"/>
    </row>
    <row r="33" spans="3:12">
      <c r="C33" s="248"/>
      <c r="D33" s="43"/>
      <c r="E33" s="138"/>
      <c r="F33" s="112"/>
      <c r="G33" s="112"/>
      <c r="H33" s="112"/>
      <c r="I33" s="112"/>
      <c r="J33" s="133"/>
      <c r="K33" s="96"/>
      <c r="L33" s="134"/>
    </row>
    <row r="34" spans="3:12">
      <c r="C34" s="33"/>
      <c r="D34" s="43"/>
      <c r="E34" s="138"/>
      <c r="F34" s="112"/>
      <c r="G34" s="112"/>
      <c r="H34" s="112"/>
      <c r="I34" s="112"/>
      <c r="J34" s="133"/>
      <c r="K34" s="96"/>
      <c r="L34" s="134"/>
    </row>
    <row r="35" spans="3:12">
      <c r="C35" s="33"/>
      <c r="D35" s="43"/>
      <c r="E35" s="138"/>
      <c r="F35" s="112"/>
      <c r="G35" s="112"/>
      <c r="H35" s="112"/>
      <c r="I35" s="112"/>
      <c r="J35" s="133"/>
      <c r="K35" s="96"/>
      <c r="L35" s="134"/>
    </row>
    <row r="36" spans="3:12">
      <c r="C36" s="33"/>
      <c r="D36" s="43"/>
      <c r="E36" s="138"/>
      <c r="F36" s="112"/>
      <c r="G36" s="112"/>
      <c r="H36" s="112"/>
      <c r="I36" s="112"/>
      <c r="J36" s="133"/>
      <c r="K36" s="96"/>
      <c r="L36" s="134"/>
    </row>
    <row r="37" spans="3:12">
      <c r="C37" s="33"/>
      <c r="D37" s="43"/>
      <c r="E37" s="138"/>
      <c r="F37" s="112"/>
      <c r="G37" s="112"/>
      <c r="H37" s="112"/>
      <c r="I37" s="112"/>
      <c r="J37" s="133"/>
      <c r="K37" s="96"/>
      <c r="L37" s="134"/>
    </row>
    <row r="38" spans="3:12">
      <c r="C38" s="33"/>
      <c r="D38" s="43"/>
      <c r="E38" s="138"/>
      <c r="F38" s="112"/>
      <c r="G38" s="112"/>
      <c r="H38" s="112"/>
      <c r="I38" s="112"/>
      <c r="J38" s="133"/>
      <c r="K38" s="96"/>
      <c r="L38" s="134"/>
    </row>
    <row r="39" spans="3:12">
      <c r="C39" s="33"/>
      <c r="D39" s="43"/>
      <c r="E39" s="138"/>
      <c r="F39" s="112"/>
      <c r="G39" s="112"/>
      <c r="H39" s="112"/>
      <c r="I39" s="112"/>
      <c r="J39" s="133"/>
      <c r="K39" s="96"/>
      <c r="L39" s="134"/>
    </row>
    <row r="40" spans="3:12">
      <c r="C40" s="33"/>
      <c r="D40" s="43"/>
      <c r="E40" s="138"/>
      <c r="F40" s="112"/>
      <c r="G40" s="112"/>
      <c r="H40" s="112"/>
      <c r="I40" s="112"/>
      <c r="J40" s="133"/>
      <c r="K40" s="96"/>
      <c r="L40" s="134"/>
    </row>
    <row r="41" spans="3:12">
      <c r="C41" s="33"/>
      <c r="D41" s="43"/>
      <c r="E41" s="138"/>
      <c r="F41" s="112"/>
      <c r="G41" s="112"/>
      <c r="H41" s="112"/>
      <c r="I41" s="112"/>
      <c r="J41" s="133"/>
      <c r="K41" s="96"/>
      <c r="L41" s="134"/>
    </row>
    <row r="42" spans="3:12">
      <c r="C42" s="33"/>
      <c r="D42" s="43"/>
      <c r="E42" s="138"/>
      <c r="F42" s="112"/>
      <c r="G42" s="112"/>
      <c r="H42" s="112"/>
      <c r="I42" s="112"/>
      <c r="J42" s="133"/>
      <c r="K42" s="96"/>
      <c r="L42" s="134"/>
    </row>
    <row r="43" spans="3:12">
      <c r="C43" s="33"/>
      <c r="D43" s="43"/>
      <c r="E43" s="138"/>
      <c r="F43" s="112"/>
      <c r="G43" s="112"/>
      <c r="H43" s="112"/>
      <c r="I43" s="112"/>
      <c r="J43" s="133"/>
      <c r="K43" s="96"/>
      <c r="L43" s="134"/>
    </row>
    <row r="44" spans="3:12">
      <c r="C44" s="33"/>
      <c r="D44" s="43"/>
      <c r="E44" s="138"/>
      <c r="F44" s="112"/>
      <c r="G44" s="112"/>
      <c r="H44" s="112"/>
      <c r="I44" s="112"/>
      <c r="J44" s="133"/>
      <c r="K44" s="96"/>
      <c r="L44" s="134"/>
    </row>
    <row r="45" spans="3:12">
      <c r="C45" s="33"/>
      <c r="D45" s="43"/>
      <c r="E45" s="138"/>
      <c r="F45" s="112"/>
      <c r="G45" s="112"/>
      <c r="H45" s="112"/>
      <c r="I45" s="112"/>
      <c r="J45" s="133"/>
      <c r="K45" s="96"/>
      <c r="L45" s="134"/>
    </row>
    <row r="46" spans="3:12">
      <c r="C46" s="33"/>
      <c r="D46" s="43"/>
      <c r="E46" s="138"/>
      <c r="F46" s="112"/>
      <c r="G46" s="112"/>
      <c r="H46" s="112"/>
      <c r="I46" s="112"/>
      <c r="J46" s="133"/>
      <c r="K46" s="96"/>
      <c r="L46" s="134"/>
    </row>
    <row r="47" spans="3:12">
      <c r="C47" s="33"/>
      <c r="D47" s="43"/>
      <c r="E47" s="138"/>
      <c r="F47" s="112"/>
      <c r="G47" s="112"/>
      <c r="H47" s="112"/>
      <c r="I47" s="112"/>
      <c r="J47" s="133"/>
      <c r="K47" s="96"/>
      <c r="L47" s="134"/>
    </row>
    <row r="48" spans="3:12">
      <c r="C48" s="33"/>
      <c r="D48" s="43"/>
      <c r="E48" s="138"/>
      <c r="F48" s="112"/>
      <c r="G48" s="112"/>
      <c r="H48" s="112"/>
      <c r="I48" s="112"/>
      <c r="J48" s="133"/>
      <c r="K48" s="96"/>
      <c r="L48" s="134"/>
    </row>
    <row r="49" spans="3:12">
      <c r="C49" s="33"/>
      <c r="D49" s="43"/>
      <c r="E49" s="138"/>
      <c r="F49" s="112"/>
      <c r="G49" s="112"/>
      <c r="H49" s="112"/>
      <c r="I49" s="112"/>
      <c r="J49" s="133"/>
      <c r="K49" s="96"/>
      <c r="L49" s="134"/>
    </row>
    <row r="50" spans="3:12">
      <c r="C50" s="33"/>
      <c r="D50" s="43"/>
      <c r="E50" s="138"/>
      <c r="F50" s="112"/>
      <c r="G50" s="112"/>
      <c r="H50" s="112"/>
      <c r="I50" s="112"/>
      <c r="J50" s="133"/>
      <c r="K50" s="96"/>
      <c r="L50" s="134"/>
    </row>
    <row r="51" spans="3:12">
      <c r="C51" s="33"/>
      <c r="D51" s="43"/>
      <c r="E51" s="138"/>
      <c r="F51" s="112"/>
      <c r="G51" s="112"/>
      <c r="H51" s="112"/>
      <c r="I51" s="112"/>
      <c r="J51" s="133"/>
      <c r="K51" s="96"/>
      <c r="L51" s="134"/>
    </row>
    <row r="52" spans="3:12">
      <c r="C52" s="33"/>
      <c r="D52" s="43"/>
      <c r="E52" s="138"/>
      <c r="F52" s="112"/>
      <c r="G52" s="112"/>
      <c r="H52" s="112"/>
      <c r="I52" s="112"/>
      <c r="J52" s="133"/>
      <c r="K52" s="96"/>
      <c r="L52" s="134"/>
    </row>
    <row r="53" spans="3:12">
      <c r="C53" s="33"/>
      <c r="D53" s="43"/>
      <c r="E53" s="138"/>
      <c r="F53" s="112"/>
      <c r="G53" s="112"/>
      <c r="H53" s="112"/>
      <c r="I53" s="112"/>
      <c r="J53" s="133"/>
      <c r="K53" s="96"/>
      <c r="L53" s="134"/>
    </row>
    <row r="54" spans="3:12">
      <c r="C54" s="33"/>
      <c r="D54" s="43"/>
      <c r="E54" s="138"/>
      <c r="F54" s="112"/>
      <c r="G54" s="112"/>
      <c r="H54" s="112"/>
      <c r="I54" s="112"/>
      <c r="J54" s="133"/>
      <c r="K54" s="96"/>
      <c r="L54" s="134"/>
    </row>
    <row r="55" spans="3:12">
      <c r="C55" s="33"/>
      <c r="D55" s="43"/>
      <c r="E55" s="138"/>
      <c r="F55" s="112"/>
      <c r="G55" s="112"/>
      <c r="H55" s="112"/>
      <c r="I55" s="112"/>
      <c r="J55" s="133"/>
      <c r="K55" s="96"/>
      <c r="L55" s="134"/>
    </row>
    <row r="56" spans="3:12">
      <c r="C56" s="33"/>
      <c r="D56" s="43"/>
      <c r="E56" s="138"/>
      <c r="F56" s="112"/>
      <c r="G56" s="112"/>
      <c r="H56" s="112"/>
      <c r="I56" s="112"/>
      <c r="J56" s="133"/>
      <c r="K56" s="96"/>
      <c r="L56" s="134"/>
    </row>
    <row r="57" spans="3:12">
      <c r="C57" s="33"/>
      <c r="D57" s="43"/>
      <c r="E57" s="138"/>
      <c r="F57" s="112"/>
      <c r="G57" s="112"/>
      <c r="H57" s="112"/>
      <c r="I57" s="112"/>
      <c r="J57" s="133"/>
      <c r="K57" s="96"/>
      <c r="L57" s="134"/>
    </row>
    <row r="58" spans="3:12">
      <c r="C58" s="33"/>
      <c r="D58" s="43"/>
      <c r="E58" s="138"/>
      <c r="F58" s="112"/>
      <c r="G58" s="112"/>
      <c r="H58" s="112"/>
      <c r="I58" s="112"/>
      <c r="J58" s="133"/>
      <c r="K58" s="96"/>
      <c r="L58" s="134"/>
    </row>
    <row r="59" spans="3:12">
      <c r="C59" s="33"/>
      <c r="D59" s="43"/>
      <c r="E59" s="138"/>
      <c r="F59" s="112"/>
      <c r="G59" s="112"/>
      <c r="H59" s="112"/>
      <c r="I59" s="112"/>
      <c r="J59" s="133"/>
      <c r="K59" s="96"/>
      <c r="L59" s="134"/>
    </row>
    <row r="60" spans="3:12">
      <c r="C60" s="33"/>
      <c r="D60" s="43"/>
      <c r="E60" s="138"/>
      <c r="F60" s="112"/>
      <c r="G60" s="112"/>
      <c r="H60" s="112"/>
      <c r="I60" s="112"/>
      <c r="J60" s="133"/>
      <c r="K60" s="96"/>
      <c r="L60" s="134"/>
    </row>
    <row r="61" spans="3:12">
      <c r="C61" s="33"/>
      <c r="D61" s="43"/>
      <c r="E61" s="138"/>
      <c r="F61" s="112"/>
      <c r="G61" s="112"/>
      <c r="H61" s="112"/>
      <c r="I61" s="112"/>
      <c r="J61" s="133"/>
      <c r="K61" s="96"/>
      <c r="L61" s="134"/>
    </row>
    <row r="62" spans="3:12">
      <c r="C62" s="33"/>
      <c r="D62" s="43"/>
      <c r="E62" s="138"/>
      <c r="F62" s="112"/>
      <c r="G62" s="112"/>
      <c r="H62" s="112"/>
      <c r="I62" s="112"/>
      <c r="J62" s="133"/>
      <c r="K62" s="96"/>
      <c r="L62" s="134"/>
    </row>
    <row r="63" spans="3:12">
      <c r="C63" s="33"/>
      <c r="D63" s="43"/>
      <c r="E63" s="138"/>
      <c r="F63" s="112"/>
      <c r="G63" s="112"/>
      <c r="H63" s="112"/>
      <c r="I63" s="112"/>
      <c r="J63" s="133"/>
      <c r="K63" s="96"/>
      <c r="L63" s="134"/>
    </row>
    <row r="64" spans="3:12">
      <c r="C64" s="33"/>
      <c r="D64" s="43"/>
      <c r="E64" s="138"/>
      <c r="F64" s="112"/>
      <c r="G64" s="112"/>
      <c r="H64" s="112"/>
      <c r="I64" s="112"/>
      <c r="J64" s="133"/>
      <c r="K64" s="96"/>
      <c r="L64" s="134"/>
    </row>
    <row r="65" spans="3:12">
      <c r="C65" s="33"/>
      <c r="D65" s="43"/>
      <c r="E65" s="138"/>
      <c r="F65" s="112"/>
      <c r="G65" s="112"/>
      <c r="H65" s="112"/>
      <c r="I65" s="112"/>
      <c r="J65" s="133"/>
      <c r="K65" s="96"/>
      <c r="L65" s="134"/>
    </row>
    <row r="66" spans="3:12">
      <c r="C66" s="33"/>
      <c r="D66" s="43"/>
      <c r="E66" s="138"/>
      <c r="F66" s="112"/>
      <c r="G66" s="112"/>
      <c r="H66" s="112"/>
      <c r="I66" s="112"/>
      <c r="J66" s="133"/>
      <c r="K66" s="96"/>
      <c r="L66" s="134"/>
    </row>
    <row r="67" spans="3:12">
      <c r="C67" s="33"/>
      <c r="D67" s="43"/>
      <c r="E67" s="138"/>
      <c r="F67" s="112"/>
      <c r="G67" s="112"/>
      <c r="H67" s="112"/>
      <c r="I67" s="112"/>
      <c r="J67" s="133"/>
      <c r="K67" s="96"/>
      <c r="L67" s="134"/>
    </row>
    <row r="68" spans="3:12">
      <c r="C68" s="33"/>
      <c r="D68" s="43"/>
      <c r="E68" s="138"/>
      <c r="F68" s="112"/>
      <c r="G68" s="112"/>
      <c r="H68" s="112"/>
      <c r="I68" s="112"/>
      <c r="J68" s="133"/>
      <c r="K68" s="96"/>
      <c r="L68" s="134"/>
    </row>
    <row r="69" spans="3:12">
      <c r="C69" s="33"/>
      <c r="D69" s="43"/>
      <c r="E69" s="138"/>
      <c r="F69" s="112"/>
      <c r="G69" s="112"/>
      <c r="H69" s="112"/>
      <c r="I69" s="112"/>
      <c r="J69" s="133"/>
      <c r="K69" s="96"/>
      <c r="L69" s="134"/>
    </row>
    <row r="70" spans="3:12">
      <c r="C70" s="33"/>
      <c r="D70" s="43"/>
      <c r="E70" s="138"/>
      <c r="F70" s="112"/>
      <c r="G70" s="112"/>
      <c r="H70" s="112"/>
      <c r="I70" s="112"/>
      <c r="J70" s="133"/>
      <c r="K70" s="96"/>
      <c r="L70" s="134"/>
    </row>
    <row r="71" spans="3:12">
      <c r="C71" s="33"/>
      <c r="D71" s="43"/>
      <c r="E71" s="138"/>
      <c r="F71" s="112"/>
      <c r="G71" s="112"/>
      <c r="H71" s="112"/>
      <c r="I71" s="112"/>
      <c r="J71" s="133"/>
      <c r="K71" s="96"/>
      <c r="L71" s="134"/>
    </row>
    <row r="72" spans="3:12">
      <c r="C72" s="33"/>
      <c r="D72" s="43"/>
      <c r="E72" s="138"/>
      <c r="F72" s="112"/>
      <c r="G72" s="112"/>
      <c r="H72" s="112"/>
      <c r="I72" s="112"/>
      <c r="J72" s="133"/>
      <c r="K72" s="96"/>
      <c r="L72" s="134"/>
    </row>
    <row r="73" spans="3:12">
      <c r="C73" s="33"/>
      <c r="D73" s="43"/>
      <c r="E73" s="138"/>
      <c r="F73" s="112"/>
      <c r="G73" s="112"/>
      <c r="H73" s="112"/>
      <c r="I73" s="112"/>
      <c r="J73" s="133"/>
      <c r="K73" s="96"/>
      <c r="L73" s="134"/>
    </row>
    <row r="74" spans="3:12">
      <c r="C74" s="33"/>
      <c r="D74" s="43"/>
      <c r="E74" s="138"/>
      <c r="F74" s="112"/>
      <c r="G74" s="112"/>
      <c r="H74" s="112"/>
      <c r="I74" s="112"/>
      <c r="J74" s="133"/>
      <c r="K74" s="96"/>
      <c r="L74" s="134"/>
    </row>
    <row r="75" spans="3:12">
      <c r="C75" s="33"/>
      <c r="D75" s="43"/>
      <c r="E75" s="138"/>
      <c r="F75" s="112"/>
      <c r="G75" s="112"/>
      <c r="H75" s="112"/>
      <c r="I75" s="112"/>
      <c r="J75" s="133"/>
      <c r="K75" s="96"/>
      <c r="L75" s="134"/>
    </row>
    <row r="76" spans="3:12">
      <c r="C76" s="33"/>
      <c r="D76" s="43"/>
      <c r="E76" s="138"/>
      <c r="F76" s="112"/>
      <c r="G76" s="112"/>
      <c r="H76" s="112"/>
      <c r="I76" s="112"/>
      <c r="J76" s="133"/>
      <c r="K76" s="96"/>
      <c r="L76" s="134"/>
    </row>
    <row r="77" spans="3:12">
      <c r="C77" s="33"/>
      <c r="D77" s="43"/>
      <c r="E77" s="138"/>
      <c r="F77" s="112"/>
      <c r="G77" s="112"/>
      <c r="H77" s="112"/>
      <c r="I77" s="112"/>
      <c r="J77" s="133"/>
      <c r="K77" s="96"/>
      <c r="L77" s="134"/>
    </row>
    <row r="78" spans="3:12">
      <c r="C78" s="33"/>
      <c r="D78" s="43"/>
      <c r="E78" s="138"/>
      <c r="F78" s="112"/>
      <c r="G78" s="112"/>
      <c r="H78" s="112"/>
      <c r="I78" s="112"/>
      <c r="J78" s="133"/>
      <c r="K78" s="96"/>
      <c r="L78" s="134"/>
    </row>
    <row r="79" spans="3:12">
      <c r="C79" s="33"/>
      <c r="D79" s="43"/>
      <c r="E79" s="138"/>
      <c r="F79" s="112"/>
      <c r="G79" s="112"/>
      <c r="H79" s="112"/>
      <c r="I79" s="112"/>
      <c r="J79" s="133"/>
      <c r="K79" s="96"/>
      <c r="L79" s="134"/>
    </row>
    <row r="80" spans="3:12">
      <c r="C80" s="33"/>
      <c r="D80" s="43"/>
      <c r="E80" s="138"/>
      <c r="F80" s="112"/>
      <c r="G80" s="112"/>
      <c r="H80" s="112"/>
      <c r="I80" s="112"/>
      <c r="J80" s="133"/>
      <c r="K80" s="96"/>
      <c r="L80" s="134"/>
    </row>
    <row r="81" spans="3:12">
      <c r="C81" s="33"/>
      <c r="D81" s="43"/>
      <c r="E81" s="138"/>
      <c r="F81" s="112"/>
      <c r="G81" s="112"/>
      <c r="H81" s="112"/>
      <c r="I81" s="112"/>
      <c r="J81" s="133"/>
      <c r="K81" s="96"/>
      <c r="L81" s="134"/>
    </row>
    <row r="82" spans="3:12">
      <c r="C82" s="33"/>
      <c r="D82" s="43"/>
      <c r="E82" s="138"/>
      <c r="F82" s="112"/>
      <c r="G82" s="112"/>
      <c r="H82" s="112"/>
      <c r="I82" s="112"/>
      <c r="J82" s="133"/>
      <c r="K82" s="96"/>
      <c r="L82" s="134"/>
    </row>
    <row r="83" spans="3:12">
      <c r="C83" s="33"/>
      <c r="D83" s="43"/>
      <c r="E83" s="138"/>
      <c r="F83" s="112"/>
      <c r="G83" s="112"/>
      <c r="H83" s="112"/>
      <c r="I83" s="112"/>
      <c r="J83" s="133"/>
      <c r="K83" s="96"/>
      <c r="L83" s="134"/>
    </row>
    <row r="84" spans="3:12">
      <c r="C84" s="33"/>
      <c r="D84" s="43"/>
      <c r="E84" s="138"/>
      <c r="F84" s="112"/>
      <c r="G84" s="112"/>
      <c r="H84" s="112"/>
      <c r="I84" s="112"/>
      <c r="J84" s="133"/>
      <c r="K84" s="96"/>
      <c r="L84" s="134"/>
    </row>
    <row r="85" spans="3:12">
      <c r="C85" s="33"/>
      <c r="D85" s="43"/>
      <c r="E85" s="138"/>
      <c r="F85" s="112"/>
      <c r="G85" s="112"/>
      <c r="H85" s="112"/>
      <c r="I85" s="112"/>
      <c r="J85" s="133"/>
      <c r="K85" s="96"/>
      <c r="L85" s="134"/>
    </row>
    <row r="86" spans="3:12">
      <c r="C86" s="33"/>
      <c r="D86" s="43"/>
      <c r="E86" s="138"/>
      <c r="F86" s="112"/>
      <c r="G86" s="112"/>
      <c r="H86" s="112"/>
      <c r="I86" s="112"/>
      <c r="J86" s="133"/>
      <c r="K86" s="96"/>
      <c r="L86" s="134"/>
    </row>
    <row r="87" spans="3:12">
      <c r="C87" s="33"/>
      <c r="D87" s="43"/>
      <c r="E87" s="138"/>
      <c r="F87" s="112"/>
      <c r="G87" s="112"/>
      <c r="H87" s="112"/>
      <c r="I87" s="112"/>
      <c r="J87" s="133"/>
      <c r="K87" s="96"/>
      <c r="L87" s="134"/>
    </row>
    <row r="88" spans="3:12">
      <c r="C88" s="33"/>
      <c r="D88" s="43"/>
      <c r="E88" s="138"/>
      <c r="F88" s="112"/>
      <c r="G88" s="112"/>
      <c r="H88" s="112"/>
      <c r="I88" s="112"/>
      <c r="J88" s="133"/>
      <c r="K88" s="96"/>
      <c r="L88" s="134"/>
    </row>
    <row r="89" spans="3:12">
      <c r="C89" s="33"/>
      <c r="D89" s="43"/>
      <c r="E89" s="138"/>
      <c r="F89" s="112"/>
      <c r="G89" s="112"/>
      <c r="H89" s="112"/>
      <c r="I89" s="112"/>
      <c r="J89" s="133"/>
      <c r="K89" s="96"/>
      <c r="L89" s="134"/>
    </row>
    <row r="90" spans="3:12">
      <c r="C90" s="33"/>
      <c r="D90" s="43"/>
      <c r="E90" s="138"/>
      <c r="F90" s="112"/>
      <c r="G90" s="112"/>
      <c r="H90" s="112"/>
      <c r="I90" s="112"/>
      <c r="J90" s="133"/>
      <c r="K90" s="96"/>
      <c r="L90" s="134"/>
    </row>
    <row r="91" spans="3:12">
      <c r="C91" s="33"/>
      <c r="D91" s="43"/>
      <c r="E91" s="138"/>
      <c r="F91" s="112"/>
      <c r="G91" s="112"/>
      <c r="H91" s="112"/>
      <c r="I91" s="112"/>
      <c r="J91" s="133"/>
      <c r="K91" s="96"/>
      <c r="L91" s="134"/>
    </row>
    <row r="92" spans="3:12">
      <c r="C92" s="33"/>
      <c r="D92" s="43"/>
      <c r="E92" s="138"/>
      <c r="F92" s="112"/>
      <c r="G92" s="112"/>
      <c r="H92" s="112"/>
      <c r="I92" s="112"/>
      <c r="J92" s="133"/>
      <c r="K92" s="96"/>
      <c r="L92" s="134"/>
    </row>
    <row r="93" spans="3:12">
      <c r="C93" s="33"/>
      <c r="D93" s="43"/>
      <c r="E93" s="138"/>
      <c r="F93" s="112"/>
      <c r="G93" s="112"/>
      <c r="H93" s="112"/>
      <c r="I93" s="112"/>
      <c r="J93" s="133"/>
      <c r="K93" s="96"/>
      <c r="L93" s="134"/>
    </row>
    <row r="94" spans="3:12">
      <c r="C94" s="33"/>
      <c r="D94" s="43"/>
      <c r="E94" s="138"/>
      <c r="F94" s="112"/>
      <c r="G94" s="112"/>
      <c r="H94" s="112"/>
      <c r="I94" s="112"/>
      <c r="J94" s="133"/>
      <c r="K94" s="96"/>
      <c r="L94" s="134"/>
    </row>
    <row r="95" spans="3:12">
      <c r="C95" s="33"/>
      <c r="D95" s="43"/>
      <c r="E95" s="138"/>
      <c r="F95" s="112"/>
      <c r="G95" s="112"/>
      <c r="H95" s="112"/>
      <c r="I95" s="112"/>
      <c r="J95" s="133"/>
      <c r="K95" s="96"/>
      <c r="L95" s="134"/>
    </row>
    <row r="96" spans="3:12">
      <c r="C96" s="33"/>
      <c r="D96" s="43"/>
      <c r="E96" s="138"/>
      <c r="F96" s="112"/>
      <c r="G96" s="112"/>
      <c r="H96" s="112"/>
      <c r="I96" s="112"/>
      <c r="J96" s="133"/>
      <c r="K96" s="96"/>
      <c r="L96" s="134"/>
    </row>
    <row r="97" spans="3:12">
      <c r="C97" s="33"/>
      <c r="D97" s="43"/>
      <c r="E97" s="138"/>
      <c r="F97" s="112"/>
      <c r="G97" s="112"/>
      <c r="H97" s="112"/>
      <c r="I97" s="112"/>
      <c r="J97" s="133"/>
      <c r="K97" s="96"/>
      <c r="L97" s="134"/>
    </row>
    <row r="98" spans="3:12">
      <c r="C98" s="33"/>
      <c r="D98" s="43"/>
      <c r="E98" s="138"/>
      <c r="F98" s="112"/>
      <c r="G98" s="112"/>
      <c r="H98" s="112"/>
      <c r="I98" s="112"/>
      <c r="J98" s="133"/>
      <c r="K98" s="96"/>
      <c r="L98" s="134"/>
    </row>
    <row r="99" spans="3:12">
      <c r="C99" s="33"/>
      <c r="D99" s="43"/>
      <c r="E99" s="138"/>
      <c r="F99" s="112"/>
      <c r="G99" s="112"/>
      <c r="H99" s="112"/>
      <c r="I99" s="112"/>
      <c r="J99" s="133"/>
      <c r="K99" s="96"/>
      <c r="L99" s="134"/>
    </row>
    <row r="100" spans="3:12">
      <c r="C100" s="33"/>
      <c r="D100" s="43"/>
      <c r="E100" s="138"/>
      <c r="F100" s="112"/>
      <c r="G100" s="112"/>
      <c r="H100" s="112"/>
      <c r="I100" s="112"/>
      <c r="J100" s="133"/>
      <c r="K100" s="96"/>
      <c r="L100" s="134"/>
    </row>
    <row r="101" spans="3:12">
      <c r="C101" s="33"/>
      <c r="D101" s="43"/>
      <c r="E101" s="138"/>
      <c r="F101" s="112"/>
      <c r="G101" s="112"/>
      <c r="H101" s="112"/>
      <c r="I101" s="112"/>
      <c r="J101" s="133"/>
      <c r="K101" s="96"/>
      <c r="L101" s="134"/>
    </row>
    <row r="102" spans="3:12">
      <c r="C102" s="33"/>
      <c r="D102" s="43"/>
      <c r="E102" s="138"/>
      <c r="F102" s="112"/>
      <c r="G102" s="112"/>
      <c r="H102" s="112"/>
      <c r="I102" s="112"/>
      <c r="J102" s="133"/>
      <c r="K102" s="96"/>
      <c r="L102" s="134"/>
    </row>
    <row r="103" spans="3:12">
      <c r="C103" s="33"/>
      <c r="D103" s="43"/>
      <c r="E103" s="138"/>
      <c r="F103" s="112"/>
      <c r="G103" s="112"/>
      <c r="H103" s="112"/>
      <c r="I103" s="112"/>
      <c r="J103" s="133"/>
      <c r="K103" s="96"/>
      <c r="L103" s="134"/>
    </row>
    <row r="104" spans="3:12">
      <c r="C104" s="33"/>
      <c r="D104" s="43"/>
      <c r="E104" s="138"/>
      <c r="F104" s="112"/>
      <c r="G104" s="112"/>
      <c r="H104" s="112"/>
      <c r="I104" s="112"/>
      <c r="J104" s="133"/>
      <c r="K104" s="96"/>
      <c r="L104" s="134"/>
    </row>
    <row r="105" spans="3:12">
      <c r="C105" s="33"/>
      <c r="D105" s="43"/>
      <c r="E105" s="138"/>
      <c r="F105" s="112"/>
      <c r="G105" s="112"/>
      <c r="H105" s="112"/>
      <c r="I105" s="112"/>
      <c r="J105" s="133"/>
      <c r="K105" s="96"/>
      <c r="L105" s="134"/>
    </row>
    <row r="106" spans="3:12">
      <c r="C106" s="33"/>
      <c r="D106" s="43"/>
      <c r="E106" s="138"/>
      <c r="F106" s="112"/>
      <c r="G106" s="112"/>
      <c r="H106" s="112"/>
      <c r="I106" s="112"/>
      <c r="J106" s="133"/>
      <c r="K106" s="96"/>
      <c r="L106" s="134"/>
    </row>
    <row r="107" spans="3:12">
      <c r="C107" s="33"/>
      <c r="D107" s="43"/>
      <c r="E107" s="138"/>
      <c r="F107" s="112"/>
      <c r="G107" s="112"/>
      <c r="H107" s="112"/>
      <c r="I107" s="112"/>
      <c r="J107" s="133"/>
      <c r="K107" s="96"/>
      <c r="L107" s="134"/>
    </row>
    <row r="108" spans="3:12">
      <c r="C108" s="33"/>
      <c r="D108" s="43"/>
      <c r="E108" s="138"/>
      <c r="F108" s="112"/>
      <c r="G108" s="112"/>
      <c r="H108" s="112"/>
      <c r="I108" s="112"/>
      <c r="J108" s="133"/>
      <c r="K108" s="96"/>
      <c r="L108" s="134"/>
    </row>
    <row r="109" spans="3:12">
      <c r="C109" s="33"/>
      <c r="D109" s="43"/>
      <c r="E109" s="138"/>
      <c r="F109" s="112"/>
      <c r="G109" s="112"/>
      <c r="H109" s="112"/>
      <c r="I109" s="112"/>
      <c r="J109" s="133"/>
      <c r="K109" s="96"/>
      <c r="L109" s="134"/>
    </row>
    <row r="110" spans="3:12">
      <c r="C110" s="33"/>
      <c r="D110" s="43"/>
      <c r="E110" s="138"/>
      <c r="F110" s="112"/>
      <c r="G110" s="112"/>
      <c r="H110" s="112"/>
      <c r="I110" s="112"/>
      <c r="J110" s="133"/>
      <c r="K110" s="96"/>
      <c r="L110" s="134"/>
    </row>
    <row r="111" spans="3:12">
      <c r="C111" s="33"/>
      <c r="D111" s="43"/>
      <c r="E111" s="138"/>
      <c r="F111" s="112"/>
      <c r="G111" s="112"/>
      <c r="H111" s="112"/>
      <c r="I111" s="112"/>
      <c r="J111" s="133"/>
      <c r="K111" s="96"/>
      <c r="L111" s="134"/>
    </row>
    <row r="112" spans="3:12">
      <c r="C112" s="33"/>
      <c r="D112" s="43"/>
      <c r="E112" s="138"/>
      <c r="F112" s="112"/>
      <c r="G112" s="112"/>
      <c r="H112" s="112"/>
      <c r="I112" s="112"/>
      <c r="J112" s="133"/>
      <c r="K112" s="96"/>
      <c r="L112" s="134"/>
    </row>
    <row r="113" spans="3:12">
      <c r="C113" s="33"/>
      <c r="D113" s="43"/>
      <c r="E113" s="138"/>
      <c r="F113" s="112"/>
      <c r="G113" s="112"/>
      <c r="H113" s="112"/>
      <c r="I113" s="112"/>
      <c r="J113" s="133"/>
      <c r="K113" s="96"/>
      <c r="L113" s="134"/>
    </row>
    <row r="114" spans="3:12">
      <c r="C114" s="33"/>
      <c r="D114" s="43"/>
      <c r="E114" s="138"/>
      <c r="F114" s="112"/>
      <c r="G114" s="112"/>
      <c r="H114" s="112"/>
      <c r="I114" s="112"/>
      <c r="J114" s="133"/>
      <c r="K114" s="96"/>
      <c r="L114" s="134"/>
    </row>
    <row r="115" spans="3:12">
      <c r="C115" s="33"/>
      <c r="D115" s="43"/>
      <c r="E115" s="138"/>
      <c r="F115" s="112"/>
      <c r="G115" s="112"/>
      <c r="H115" s="112"/>
      <c r="I115" s="112"/>
      <c r="J115" s="133"/>
      <c r="K115" s="96"/>
      <c r="L115" s="134"/>
    </row>
    <row r="116" spans="3:12">
      <c r="C116" s="33"/>
      <c r="D116" s="43"/>
      <c r="E116" s="138"/>
      <c r="F116" s="112"/>
      <c r="G116" s="112"/>
      <c r="H116" s="112"/>
      <c r="I116" s="112"/>
      <c r="J116" s="133"/>
      <c r="K116" s="96"/>
      <c r="L116" s="134"/>
    </row>
    <row r="117" spans="3:12">
      <c r="C117" s="33"/>
      <c r="D117" s="43"/>
      <c r="E117" s="138"/>
      <c r="F117" s="112"/>
      <c r="G117" s="112"/>
      <c r="H117" s="112"/>
      <c r="I117" s="112"/>
      <c r="J117" s="133"/>
      <c r="K117" s="96"/>
      <c r="L117" s="134"/>
    </row>
    <row r="118" spans="3:12">
      <c r="C118" s="33"/>
      <c r="D118" s="43"/>
      <c r="E118" s="138"/>
      <c r="F118" s="112"/>
      <c r="G118" s="112"/>
      <c r="H118" s="112"/>
      <c r="I118" s="112"/>
      <c r="J118" s="133"/>
      <c r="K118" s="96"/>
      <c r="L118" s="134"/>
    </row>
    <row r="119" spans="3:12">
      <c r="C119" s="33"/>
      <c r="D119" s="43"/>
      <c r="E119" s="138"/>
      <c r="F119" s="112"/>
      <c r="G119" s="112"/>
      <c r="H119" s="112"/>
      <c r="I119" s="112"/>
      <c r="J119" s="133"/>
      <c r="K119" s="96"/>
      <c r="L119" s="134"/>
    </row>
    <row r="120" spans="3:12">
      <c r="C120" s="33"/>
      <c r="D120" s="43"/>
      <c r="E120" s="138"/>
      <c r="F120" s="112"/>
      <c r="G120" s="112"/>
      <c r="H120" s="112"/>
      <c r="I120" s="112"/>
      <c r="J120" s="133"/>
      <c r="K120" s="96"/>
      <c r="L120" s="134"/>
    </row>
    <row r="121" spans="3:12">
      <c r="C121" s="33"/>
      <c r="D121" s="43"/>
      <c r="E121" s="138"/>
      <c r="F121" s="112"/>
      <c r="G121" s="112"/>
      <c r="H121" s="112"/>
      <c r="I121" s="112"/>
      <c r="J121" s="133"/>
      <c r="K121" s="96"/>
      <c r="L121" s="134"/>
    </row>
    <row r="122" spans="3:12">
      <c r="C122" s="33"/>
      <c r="D122" s="43"/>
      <c r="E122" s="138"/>
      <c r="F122" s="112"/>
      <c r="G122" s="112"/>
      <c r="H122" s="112"/>
      <c r="I122" s="112"/>
      <c r="J122" s="133"/>
      <c r="K122" s="96"/>
      <c r="L122" s="134"/>
    </row>
    <row r="123" spans="3:12">
      <c r="C123" s="33"/>
      <c r="D123" s="43"/>
      <c r="E123" s="138"/>
      <c r="F123" s="112"/>
      <c r="G123" s="112"/>
      <c r="H123" s="112"/>
      <c r="I123" s="112"/>
      <c r="J123" s="133"/>
      <c r="K123" s="96"/>
      <c r="L123" s="134"/>
    </row>
    <row r="124" spans="3:12">
      <c r="C124" s="33"/>
      <c r="D124" s="43"/>
      <c r="E124" s="138"/>
      <c r="F124" s="112"/>
      <c r="G124" s="112"/>
      <c r="H124" s="112"/>
      <c r="I124" s="112"/>
      <c r="J124" s="133"/>
      <c r="K124" s="96"/>
      <c r="L124" s="134"/>
    </row>
    <row r="125" spans="3:12">
      <c r="C125" s="33"/>
      <c r="D125" s="43"/>
      <c r="E125" s="138"/>
      <c r="F125" s="112"/>
      <c r="G125" s="112"/>
      <c r="H125" s="112"/>
      <c r="I125" s="112"/>
      <c r="J125" s="133"/>
      <c r="K125" s="96"/>
      <c r="L125" s="134"/>
    </row>
    <row r="126" spans="3:12">
      <c r="C126" s="33"/>
      <c r="D126" s="43"/>
      <c r="E126" s="138"/>
      <c r="F126" s="112"/>
      <c r="G126" s="112"/>
      <c r="H126" s="112"/>
      <c r="I126" s="112"/>
      <c r="J126" s="133"/>
      <c r="K126" s="96"/>
      <c r="L126" s="134"/>
    </row>
    <row r="127" spans="3:12">
      <c r="C127" s="33"/>
      <c r="D127" s="43"/>
      <c r="E127" s="138"/>
      <c r="F127" s="112"/>
      <c r="G127" s="112"/>
      <c r="H127" s="112"/>
      <c r="I127" s="112"/>
      <c r="J127" s="133"/>
      <c r="K127" s="96"/>
      <c r="L127" s="134"/>
    </row>
    <row r="128" spans="3:12">
      <c r="C128" s="33"/>
      <c r="D128" s="43"/>
      <c r="E128" s="138"/>
      <c r="F128" s="112"/>
      <c r="G128" s="112"/>
      <c r="H128" s="112"/>
      <c r="I128" s="112"/>
      <c r="J128" s="133"/>
      <c r="K128" s="96"/>
      <c r="L128" s="134"/>
    </row>
    <row r="129" spans="3:12">
      <c r="C129" s="33"/>
      <c r="D129" s="43"/>
      <c r="E129" s="138"/>
      <c r="F129" s="112"/>
      <c r="G129" s="112"/>
      <c r="H129" s="112"/>
      <c r="I129" s="112"/>
      <c r="J129" s="133"/>
      <c r="K129" s="96"/>
      <c r="L129" s="134"/>
    </row>
    <row r="130" spans="3:12">
      <c r="C130" s="33"/>
      <c r="D130" s="43"/>
      <c r="E130" s="138"/>
      <c r="F130" s="112"/>
      <c r="G130" s="112"/>
      <c r="H130" s="112"/>
      <c r="I130" s="112"/>
      <c r="J130" s="133"/>
      <c r="K130" s="96"/>
      <c r="L130" s="134"/>
    </row>
    <row r="131" spans="3:12">
      <c r="C131" s="33"/>
      <c r="D131" s="43"/>
      <c r="E131" s="138"/>
      <c r="F131" s="112"/>
      <c r="G131" s="112"/>
      <c r="H131" s="112"/>
      <c r="I131" s="112"/>
      <c r="J131" s="133"/>
      <c r="K131" s="96"/>
      <c r="L131" s="134"/>
    </row>
    <row r="132" spans="3:12">
      <c r="C132" s="33"/>
      <c r="D132" s="43"/>
      <c r="E132" s="138"/>
      <c r="F132" s="112"/>
      <c r="G132" s="112"/>
      <c r="H132" s="112"/>
      <c r="I132" s="112"/>
      <c r="J132" s="133"/>
      <c r="K132" s="96"/>
      <c r="L132" s="134"/>
    </row>
    <row r="133" spans="3:12">
      <c r="C133" s="33"/>
      <c r="D133" s="43"/>
      <c r="E133" s="138"/>
      <c r="F133" s="112"/>
      <c r="G133" s="112"/>
      <c r="H133" s="112"/>
      <c r="I133" s="112"/>
      <c r="J133" s="133"/>
      <c r="K133" s="96"/>
      <c r="L133" s="134"/>
    </row>
    <row r="134" spans="3:12">
      <c r="C134" s="33"/>
      <c r="D134" s="43"/>
      <c r="E134" s="138"/>
      <c r="F134" s="112"/>
      <c r="G134" s="112"/>
      <c r="H134" s="112"/>
      <c r="I134" s="112"/>
      <c r="J134" s="133"/>
      <c r="K134" s="96"/>
      <c r="L134" s="134"/>
    </row>
    <row r="135" spans="3:12">
      <c r="C135" s="33"/>
      <c r="D135" s="43"/>
      <c r="E135" s="138"/>
      <c r="F135" s="112"/>
      <c r="G135" s="112"/>
      <c r="H135" s="112"/>
      <c r="I135" s="112"/>
      <c r="J135" s="133"/>
      <c r="K135" s="96"/>
      <c r="L135" s="134"/>
    </row>
    <row r="136" spans="3:12">
      <c r="C136" s="33"/>
      <c r="D136" s="43"/>
      <c r="E136" s="138"/>
      <c r="F136" s="112"/>
      <c r="G136" s="112"/>
      <c r="H136" s="112"/>
      <c r="I136" s="112"/>
      <c r="J136" s="133"/>
      <c r="K136" s="96"/>
      <c r="L136" s="134"/>
    </row>
    <row r="137" spans="3:12">
      <c r="C137" s="33"/>
      <c r="D137" s="43"/>
      <c r="E137" s="138"/>
      <c r="F137" s="112"/>
      <c r="G137" s="112"/>
      <c r="H137" s="112"/>
      <c r="I137" s="112"/>
      <c r="J137" s="133"/>
      <c r="K137" s="96"/>
      <c r="L137" s="134"/>
    </row>
    <row r="138" spans="3:12">
      <c r="C138" s="33"/>
      <c r="D138" s="43"/>
      <c r="E138" s="138"/>
      <c r="F138" s="112"/>
      <c r="G138" s="112"/>
      <c r="H138" s="112"/>
      <c r="I138" s="112"/>
      <c r="J138" s="133"/>
      <c r="K138" s="96"/>
      <c r="L138" s="134"/>
    </row>
    <row r="139" spans="3:12">
      <c r="C139" s="33"/>
      <c r="D139" s="43"/>
      <c r="E139" s="138"/>
      <c r="F139" s="112"/>
      <c r="G139" s="112"/>
      <c r="H139" s="112"/>
      <c r="I139" s="112"/>
      <c r="J139" s="133"/>
      <c r="K139" s="96"/>
      <c r="L139" s="134"/>
    </row>
    <row r="140" spans="3:12">
      <c r="C140" s="33"/>
      <c r="D140" s="43"/>
      <c r="E140" s="138"/>
      <c r="F140" s="112"/>
      <c r="G140" s="112"/>
      <c r="H140" s="112"/>
      <c r="I140" s="112"/>
      <c r="J140" s="133"/>
      <c r="K140" s="96"/>
      <c r="L140" s="134"/>
    </row>
    <row r="141" spans="3:12">
      <c r="C141" s="33"/>
      <c r="D141" s="43"/>
      <c r="E141" s="138"/>
      <c r="F141" s="112"/>
      <c r="G141" s="112"/>
      <c r="H141" s="112"/>
      <c r="I141" s="112"/>
      <c r="J141" s="133"/>
      <c r="K141" s="96"/>
      <c r="L141" s="134"/>
    </row>
    <row r="142" spans="3:12">
      <c r="C142" s="33"/>
      <c r="D142" s="43"/>
      <c r="E142" s="138"/>
      <c r="F142" s="112"/>
      <c r="G142" s="112"/>
      <c r="H142" s="112"/>
      <c r="I142" s="112"/>
      <c r="J142" s="133"/>
      <c r="K142" s="96"/>
      <c r="L142" s="134"/>
    </row>
    <row r="143" spans="3:12">
      <c r="C143" s="33"/>
      <c r="D143" s="43"/>
      <c r="E143" s="138"/>
      <c r="F143" s="112"/>
      <c r="G143" s="112"/>
      <c r="H143" s="112"/>
      <c r="I143" s="112"/>
      <c r="J143" s="133"/>
      <c r="K143" s="96"/>
      <c r="L143" s="134"/>
    </row>
    <row r="144" spans="3:12">
      <c r="C144" s="33"/>
      <c r="D144" s="43"/>
      <c r="E144" s="138"/>
      <c r="F144" s="112"/>
      <c r="G144" s="112"/>
      <c r="H144" s="112"/>
      <c r="I144" s="112"/>
      <c r="J144" s="133"/>
      <c r="K144" s="96"/>
      <c r="L144" s="134"/>
    </row>
    <row r="145" spans="3:12">
      <c r="C145" s="33"/>
      <c r="D145" s="43"/>
      <c r="E145" s="138"/>
      <c r="F145" s="112"/>
      <c r="G145" s="112"/>
      <c r="H145" s="112"/>
      <c r="I145" s="112"/>
      <c r="J145" s="133"/>
      <c r="K145" s="96"/>
      <c r="L145" s="134"/>
    </row>
    <row r="146" spans="3:12">
      <c r="C146" s="33"/>
      <c r="D146" s="43"/>
      <c r="E146" s="138"/>
      <c r="F146" s="112"/>
      <c r="G146" s="112"/>
      <c r="H146" s="112"/>
      <c r="I146" s="112"/>
      <c r="J146" s="133"/>
      <c r="K146" s="96"/>
      <c r="L146" s="134"/>
    </row>
    <row r="147" spans="3:12">
      <c r="C147" s="33"/>
      <c r="D147" s="43"/>
      <c r="E147" s="138"/>
      <c r="F147" s="112"/>
      <c r="G147" s="112"/>
      <c r="H147" s="112"/>
      <c r="I147" s="112"/>
      <c r="J147" s="133"/>
      <c r="K147" s="96"/>
      <c r="L147" s="134"/>
    </row>
    <row r="148" spans="3:12">
      <c r="C148" s="33"/>
      <c r="D148" s="43"/>
      <c r="E148" s="138"/>
      <c r="F148" s="112"/>
      <c r="G148" s="112"/>
      <c r="H148" s="112"/>
      <c r="I148" s="112"/>
      <c r="J148" s="133"/>
      <c r="K148" s="96"/>
      <c r="L148" s="134"/>
    </row>
    <row r="149" spans="3:12">
      <c r="C149" s="33"/>
      <c r="D149" s="43"/>
      <c r="E149" s="138"/>
      <c r="F149" s="112"/>
      <c r="G149" s="112"/>
      <c r="H149" s="112"/>
      <c r="I149" s="112"/>
      <c r="J149" s="133"/>
      <c r="K149" s="96"/>
      <c r="L149" s="134"/>
    </row>
    <row r="150" spans="3:12">
      <c r="C150" s="33"/>
      <c r="D150" s="43"/>
      <c r="E150" s="138"/>
      <c r="F150" s="112"/>
      <c r="G150" s="112"/>
      <c r="H150" s="112"/>
      <c r="I150" s="112"/>
      <c r="J150" s="133"/>
      <c r="K150" s="96"/>
      <c r="L150" s="134"/>
    </row>
    <row r="151" spans="3:12">
      <c r="C151" s="33"/>
      <c r="D151" s="43"/>
      <c r="E151" s="138"/>
      <c r="F151" s="112"/>
      <c r="G151" s="112"/>
      <c r="H151" s="112"/>
      <c r="I151" s="112"/>
      <c r="J151" s="133"/>
      <c r="K151" s="96"/>
      <c r="L151" s="134"/>
    </row>
    <row r="152" spans="3:12">
      <c r="C152" s="33"/>
      <c r="D152" s="43"/>
      <c r="E152" s="138"/>
      <c r="F152" s="112"/>
      <c r="G152" s="112"/>
      <c r="H152" s="112"/>
      <c r="I152" s="112"/>
      <c r="J152" s="133"/>
      <c r="K152" s="96"/>
      <c r="L152" s="134"/>
    </row>
    <row r="153" spans="3:12">
      <c r="C153" s="33"/>
      <c r="D153" s="43"/>
      <c r="E153" s="138"/>
      <c r="F153" s="112"/>
      <c r="G153" s="112"/>
      <c r="H153" s="112"/>
      <c r="I153" s="112"/>
      <c r="J153" s="133"/>
      <c r="K153" s="96"/>
      <c r="L153" s="134"/>
    </row>
    <row r="154" spans="3:12">
      <c r="C154" s="33"/>
      <c r="D154" s="43"/>
      <c r="E154" s="138"/>
      <c r="F154" s="112"/>
      <c r="G154" s="112"/>
      <c r="H154" s="112"/>
      <c r="I154" s="112"/>
      <c r="J154" s="133"/>
      <c r="K154" s="96"/>
      <c r="L154" s="134"/>
    </row>
    <row r="155" spans="3:12">
      <c r="C155" s="33"/>
      <c r="D155" s="43"/>
      <c r="E155" s="138"/>
      <c r="F155" s="112"/>
      <c r="G155" s="112"/>
      <c r="H155" s="112"/>
      <c r="I155" s="112"/>
      <c r="J155" s="133"/>
      <c r="K155" s="96"/>
      <c r="L155" s="134"/>
    </row>
    <row r="156" spans="3:12">
      <c r="C156" s="33"/>
      <c r="D156" s="43"/>
      <c r="E156" s="138"/>
      <c r="F156" s="112"/>
      <c r="G156" s="112"/>
      <c r="H156" s="112"/>
      <c r="I156" s="112"/>
      <c r="J156" s="133"/>
      <c r="K156" s="96"/>
      <c r="L156" s="134"/>
    </row>
    <row r="157" spans="3:12">
      <c r="C157" s="33"/>
      <c r="D157" s="43"/>
      <c r="E157" s="138"/>
      <c r="F157" s="112"/>
      <c r="G157" s="112"/>
      <c r="H157" s="112"/>
      <c r="I157" s="112"/>
      <c r="J157" s="133"/>
      <c r="K157" s="96"/>
      <c r="L157" s="134"/>
    </row>
    <row r="158" spans="3:12">
      <c r="C158" s="33"/>
      <c r="D158" s="43"/>
      <c r="E158" s="138"/>
      <c r="F158" s="112"/>
      <c r="G158" s="112"/>
      <c r="H158" s="112"/>
      <c r="I158" s="112"/>
      <c r="J158" s="133"/>
      <c r="K158" s="96"/>
      <c r="L158" s="134"/>
    </row>
    <row r="159" spans="3:12">
      <c r="C159" s="33"/>
      <c r="D159" s="43"/>
      <c r="E159" s="138"/>
      <c r="F159" s="112"/>
      <c r="G159" s="112"/>
      <c r="H159" s="112"/>
      <c r="I159" s="112"/>
      <c r="J159" s="133"/>
      <c r="K159" s="96"/>
      <c r="L159" s="134"/>
    </row>
    <row r="160" spans="3:12">
      <c r="C160" s="33"/>
      <c r="D160" s="43"/>
      <c r="E160" s="138"/>
      <c r="F160" s="112"/>
      <c r="G160" s="112"/>
      <c r="H160" s="112"/>
      <c r="I160" s="112"/>
      <c r="J160" s="133"/>
      <c r="K160" s="96"/>
      <c r="L160" s="134"/>
    </row>
    <row r="161" spans="3:12">
      <c r="C161" s="33"/>
      <c r="D161" s="43"/>
      <c r="E161" s="138"/>
      <c r="F161" s="112"/>
      <c r="G161" s="112"/>
      <c r="H161" s="112"/>
      <c r="I161" s="112"/>
      <c r="J161" s="133"/>
      <c r="K161" s="96"/>
      <c r="L161" s="134"/>
    </row>
    <row r="162" spans="3:12">
      <c r="C162" s="33"/>
      <c r="D162" s="43"/>
      <c r="E162" s="138"/>
      <c r="F162" s="112"/>
      <c r="G162" s="112"/>
      <c r="H162" s="112"/>
      <c r="I162" s="112"/>
      <c r="J162" s="133"/>
      <c r="K162" s="96"/>
      <c r="L162" s="134"/>
    </row>
    <row r="163" spans="3:12">
      <c r="C163" s="33"/>
      <c r="D163" s="43"/>
      <c r="E163" s="138"/>
      <c r="F163" s="112"/>
      <c r="G163" s="112"/>
      <c r="H163" s="112"/>
      <c r="I163" s="112"/>
      <c r="J163" s="133"/>
      <c r="K163" s="96"/>
      <c r="L163" s="134"/>
    </row>
    <row r="164" spans="3:12">
      <c r="C164" s="33"/>
      <c r="D164" s="43"/>
      <c r="E164" s="138"/>
      <c r="F164" s="112"/>
      <c r="G164" s="112"/>
      <c r="H164" s="112"/>
      <c r="I164" s="112"/>
      <c r="J164" s="133"/>
      <c r="K164" s="96"/>
      <c r="L164" s="134"/>
    </row>
    <row r="165" spans="3:12">
      <c r="C165" s="33"/>
      <c r="D165" s="43"/>
      <c r="E165" s="138"/>
      <c r="F165" s="112"/>
      <c r="G165" s="112"/>
      <c r="H165" s="112"/>
      <c r="I165" s="112"/>
      <c r="J165" s="133"/>
      <c r="K165" s="96"/>
      <c r="L165" s="134"/>
    </row>
    <row r="166" spans="3:12">
      <c r="C166" s="33"/>
      <c r="D166" s="43"/>
      <c r="E166" s="138"/>
      <c r="F166" s="112"/>
      <c r="G166" s="112"/>
      <c r="H166" s="112"/>
      <c r="I166" s="112"/>
      <c r="J166" s="133"/>
      <c r="K166" s="96"/>
      <c r="L166" s="134"/>
    </row>
    <row r="167" spans="3:12">
      <c r="C167" s="33"/>
      <c r="D167" s="43"/>
      <c r="E167" s="138"/>
      <c r="F167" s="112"/>
      <c r="G167" s="112"/>
      <c r="H167" s="112"/>
      <c r="I167" s="112"/>
      <c r="J167" s="133"/>
      <c r="K167" s="96"/>
      <c r="L167" s="134"/>
    </row>
    <row r="168" spans="3:12">
      <c r="C168" s="33"/>
      <c r="D168" s="43"/>
      <c r="E168" s="138"/>
      <c r="F168" s="112"/>
      <c r="G168" s="112"/>
      <c r="H168" s="112"/>
      <c r="I168" s="112"/>
      <c r="J168" s="133"/>
      <c r="K168" s="96"/>
      <c r="L168" s="134"/>
    </row>
    <row r="169" spans="3:12">
      <c r="C169" s="33"/>
      <c r="D169" s="43"/>
      <c r="E169" s="138"/>
      <c r="F169" s="112"/>
      <c r="G169" s="112"/>
      <c r="H169" s="112"/>
      <c r="I169" s="112"/>
      <c r="J169" s="133"/>
      <c r="K169" s="96"/>
      <c r="L169" s="134"/>
    </row>
    <row r="170" spans="3:12">
      <c r="C170" s="33"/>
      <c r="D170" s="43"/>
      <c r="E170" s="138"/>
      <c r="F170" s="112"/>
      <c r="G170" s="112"/>
      <c r="H170" s="112"/>
      <c r="I170" s="112"/>
      <c r="J170" s="133"/>
      <c r="K170" s="96"/>
      <c r="L170" s="134"/>
    </row>
    <row r="171" spans="3:12">
      <c r="C171" s="33"/>
      <c r="D171" s="43"/>
      <c r="E171" s="138"/>
      <c r="F171" s="112"/>
      <c r="G171" s="112"/>
      <c r="H171" s="112"/>
      <c r="I171" s="112"/>
      <c r="J171" s="133"/>
      <c r="K171" s="96"/>
      <c r="L171" s="134"/>
    </row>
    <row r="172" spans="3:12">
      <c r="C172" s="33"/>
      <c r="D172" s="43"/>
      <c r="E172" s="138"/>
      <c r="F172" s="112"/>
      <c r="G172" s="112"/>
      <c r="H172" s="112"/>
      <c r="I172" s="112"/>
      <c r="J172" s="133"/>
      <c r="K172" s="96"/>
      <c r="L172" s="134"/>
    </row>
    <row r="173" spans="3:12">
      <c r="C173" s="33"/>
      <c r="D173" s="43"/>
      <c r="E173" s="138"/>
      <c r="F173" s="112"/>
      <c r="G173" s="112"/>
      <c r="H173" s="112"/>
      <c r="I173" s="112"/>
      <c r="J173" s="133"/>
      <c r="K173" s="96"/>
      <c r="L173" s="134"/>
    </row>
    <row r="174" spans="3:12">
      <c r="C174" s="33"/>
      <c r="D174" s="43"/>
      <c r="E174" s="138"/>
      <c r="F174" s="112"/>
      <c r="G174" s="112"/>
      <c r="H174" s="112"/>
      <c r="I174" s="112"/>
      <c r="J174" s="133"/>
      <c r="K174" s="96"/>
      <c r="L174" s="134"/>
    </row>
    <row r="175" spans="3:12">
      <c r="C175" s="33"/>
      <c r="D175" s="43"/>
      <c r="E175" s="138"/>
      <c r="F175" s="112"/>
      <c r="G175" s="112"/>
      <c r="H175" s="112"/>
      <c r="I175" s="112"/>
      <c r="J175" s="133"/>
      <c r="K175" s="96"/>
      <c r="L175" s="134"/>
    </row>
    <row r="176" spans="3:12">
      <c r="C176" s="33"/>
      <c r="D176" s="43"/>
      <c r="E176" s="138"/>
      <c r="F176" s="112"/>
      <c r="G176" s="112"/>
      <c r="H176" s="112"/>
      <c r="I176" s="112"/>
      <c r="J176" s="133"/>
      <c r="K176" s="96"/>
      <c r="L176" s="134"/>
    </row>
    <row r="177" spans="3:12">
      <c r="C177" s="33"/>
      <c r="D177" s="43"/>
      <c r="E177" s="138"/>
      <c r="F177" s="112"/>
      <c r="G177" s="112"/>
      <c r="H177" s="112"/>
      <c r="I177" s="112"/>
      <c r="J177" s="133"/>
      <c r="K177" s="96"/>
      <c r="L177" s="134"/>
    </row>
    <row r="178" spans="3:12">
      <c r="C178" s="33"/>
      <c r="D178" s="43"/>
      <c r="E178" s="138"/>
      <c r="F178" s="112"/>
      <c r="G178" s="112"/>
      <c r="H178" s="112"/>
      <c r="I178" s="112"/>
      <c r="J178" s="133"/>
      <c r="K178" s="96"/>
      <c r="L178" s="134"/>
    </row>
    <row r="179" spans="3:12">
      <c r="C179" s="33"/>
      <c r="D179" s="43"/>
      <c r="E179" s="138"/>
      <c r="F179" s="112"/>
      <c r="G179" s="112"/>
      <c r="H179" s="112"/>
      <c r="I179" s="112"/>
      <c r="J179" s="133"/>
      <c r="K179" s="96"/>
      <c r="L179" s="134"/>
    </row>
    <row r="180" spans="3:12">
      <c r="C180" s="33"/>
      <c r="D180" s="43"/>
      <c r="E180" s="138"/>
      <c r="F180" s="112"/>
      <c r="G180" s="112"/>
      <c r="H180" s="112"/>
      <c r="I180" s="112"/>
      <c r="J180" s="133"/>
      <c r="K180" s="96"/>
      <c r="L180" s="134"/>
    </row>
    <row r="181" spans="3:12">
      <c r="C181" s="33"/>
      <c r="D181" s="43"/>
      <c r="E181" s="138"/>
      <c r="F181" s="112"/>
      <c r="G181" s="112"/>
      <c r="H181" s="112"/>
      <c r="I181" s="112"/>
      <c r="J181" s="133"/>
      <c r="K181" s="96"/>
      <c r="L181" s="134"/>
    </row>
    <row r="182" spans="3:12">
      <c r="C182" s="33"/>
      <c r="D182" s="43"/>
      <c r="E182" s="138"/>
      <c r="F182" s="112"/>
      <c r="G182" s="112"/>
      <c r="H182" s="112"/>
      <c r="I182" s="112"/>
      <c r="J182" s="133"/>
      <c r="K182" s="96"/>
      <c r="L182" s="134"/>
    </row>
    <row r="183" spans="3:12">
      <c r="C183" s="33"/>
      <c r="D183" s="43"/>
      <c r="E183" s="138"/>
      <c r="F183" s="112"/>
      <c r="G183" s="112"/>
      <c r="H183" s="112"/>
      <c r="I183" s="112"/>
      <c r="J183" s="133"/>
      <c r="K183" s="96"/>
      <c r="L183" s="134"/>
    </row>
    <row r="184" spans="3:12">
      <c r="C184" s="33"/>
      <c r="D184" s="43"/>
      <c r="E184" s="138"/>
      <c r="F184" s="112"/>
      <c r="G184" s="112"/>
      <c r="H184" s="112"/>
      <c r="I184" s="112"/>
      <c r="J184" s="133"/>
      <c r="K184" s="96"/>
      <c r="L184" s="134"/>
    </row>
    <row r="185" spans="3:12">
      <c r="C185" s="33"/>
      <c r="D185" s="43"/>
      <c r="E185" s="138"/>
      <c r="F185" s="112"/>
      <c r="G185" s="112"/>
      <c r="H185" s="112"/>
      <c r="I185" s="112"/>
      <c r="J185" s="133"/>
      <c r="K185" s="96"/>
      <c r="L185" s="134"/>
    </row>
    <row r="186" spans="3:12">
      <c r="C186" s="33"/>
      <c r="D186" s="43"/>
      <c r="E186" s="138"/>
      <c r="F186" s="112"/>
      <c r="G186" s="112"/>
      <c r="H186" s="112"/>
      <c r="I186" s="112"/>
      <c r="J186" s="133"/>
      <c r="K186" s="96"/>
      <c r="L186" s="134"/>
    </row>
    <row r="187" spans="3:12">
      <c r="C187" s="33"/>
      <c r="D187" s="43"/>
      <c r="E187" s="138"/>
      <c r="F187" s="112"/>
      <c r="G187" s="112"/>
      <c r="H187" s="112"/>
      <c r="I187" s="112"/>
      <c r="J187" s="133"/>
      <c r="K187" s="96"/>
      <c r="L187" s="134"/>
    </row>
    <row r="188" spans="3:12">
      <c r="C188" s="33"/>
      <c r="D188" s="43"/>
      <c r="E188" s="138"/>
      <c r="F188" s="112"/>
      <c r="G188" s="112"/>
      <c r="H188" s="112"/>
      <c r="I188" s="112"/>
      <c r="J188" s="133"/>
      <c r="K188" s="96"/>
      <c r="L188" s="134"/>
    </row>
    <row r="189" spans="3:12">
      <c r="C189" s="33"/>
      <c r="D189" s="43"/>
      <c r="E189" s="138"/>
      <c r="F189" s="112"/>
      <c r="G189" s="112"/>
      <c r="H189" s="112"/>
      <c r="I189" s="112"/>
      <c r="J189" s="133"/>
      <c r="K189" s="96"/>
      <c r="L189" s="134"/>
    </row>
    <row r="190" spans="3:12">
      <c r="C190" s="33"/>
      <c r="D190" s="43"/>
      <c r="E190" s="138"/>
      <c r="F190" s="112"/>
      <c r="G190" s="112"/>
      <c r="H190" s="112"/>
      <c r="I190" s="112"/>
      <c r="J190" s="133"/>
      <c r="K190" s="96"/>
      <c r="L190" s="134"/>
    </row>
    <row r="191" spans="3:12">
      <c r="C191" s="33"/>
      <c r="D191" s="43"/>
      <c r="E191" s="138"/>
      <c r="F191" s="112"/>
      <c r="G191" s="112"/>
      <c r="H191" s="112"/>
      <c r="I191" s="112"/>
      <c r="J191" s="133"/>
      <c r="K191" s="96"/>
      <c r="L191" s="134"/>
    </row>
    <row r="192" spans="3:12">
      <c r="C192" s="33"/>
      <c r="D192" s="43"/>
      <c r="E192" s="138"/>
      <c r="F192" s="112"/>
      <c r="G192" s="112"/>
      <c r="H192" s="112"/>
      <c r="I192" s="112"/>
      <c r="J192" s="133"/>
      <c r="K192" s="96"/>
      <c r="L192" s="134"/>
    </row>
    <row r="193" spans="3:12">
      <c r="C193" s="33"/>
      <c r="D193" s="43"/>
      <c r="E193" s="138"/>
      <c r="F193" s="112"/>
      <c r="G193" s="112"/>
      <c r="H193" s="112"/>
      <c r="I193" s="112"/>
      <c r="J193" s="133"/>
      <c r="K193" s="96"/>
      <c r="L193" s="134"/>
    </row>
    <row r="194" spans="3:12">
      <c r="C194" s="33"/>
      <c r="D194" s="43"/>
      <c r="E194" s="138"/>
      <c r="F194" s="112"/>
      <c r="G194" s="112"/>
      <c r="H194" s="112"/>
      <c r="I194" s="112"/>
      <c r="J194" s="133"/>
      <c r="K194" s="96"/>
      <c r="L194" s="134"/>
    </row>
    <row r="195" spans="3:12">
      <c r="C195" s="33"/>
      <c r="D195" s="43"/>
      <c r="E195" s="138"/>
      <c r="F195" s="112"/>
      <c r="G195" s="112"/>
      <c r="H195" s="112"/>
      <c r="I195" s="112"/>
      <c r="J195" s="133"/>
      <c r="K195" s="96"/>
      <c r="L195" s="134"/>
    </row>
    <row r="196" spans="3:12">
      <c r="C196" s="33"/>
      <c r="D196" s="43"/>
      <c r="E196" s="138"/>
      <c r="F196" s="112"/>
      <c r="G196" s="112"/>
      <c r="H196" s="112"/>
      <c r="I196" s="112"/>
      <c r="J196" s="133"/>
      <c r="K196" s="96"/>
      <c r="L196" s="134"/>
    </row>
    <row r="197" spans="3:12">
      <c r="C197" s="33"/>
      <c r="D197" s="43"/>
      <c r="E197" s="138"/>
      <c r="F197" s="112"/>
      <c r="G197" s="112"/>
      <c r="H197" s="112"/>
      <c r="I197" s="112"/>
      <c r="J197" s="133"/>
      <c r="K197" s="96"/>
      <c r="L197" s="134"/>
    </row>
    <row r="198" spans="3:12">
      <c r="C198" s="33"/>
      <c r="D198" s="43"/>
      <c r="E198" s="138"/>
      <c r="F198" s="112"/>
      <c r="G198" s="112"/>
      <c r="H198" s="112"/>
      <c r="I198" s="112"/>
      <c r="J198" s="133"/>
      <c r="K198" s="96"/>
      <c r="L198" s="134"/>
    </row>
    <row r="199" spans="3:12">
      <c r="C199" s="33"/>
      <c r="D199" s="43"/>
      <c r="E199" s="138"/>
      <c r="F199" s="112"/>
      <c r="G199" s="112"/>
      <c r="H199" s="112"/>
      <c r="I199" s="112"/>
      <c r="J199" s="133"/>
      <c r="K199" s="96"/>
      <c r="L199" s="134"/>
    </row>
    <row r="200" spans="3:12">
      <c r="C200" s="33"/>
      <c r="D200" s="43"/>
      <c r="E200" s="138"/>
      <c r="F200" s="112"/>
      <c r="G200" s="112"/>
      <c r="H200" s="112"/>
      <c r="I200" s="112"/>
      <c r="J200" s="133"/>
      <c r="K200" s="96"/>
      <c r="L200" s="134"/>
    </row>
    <row r="201" spans="3:12">
      <c r="C201" s="33"/>
      <c r="D201" s="43"/>
      <c r="E201" s="138"/>
      <c r="F201" s="112"/>
      <c r="G201" s="112"/>
      <c r="H201" s="112"/>
      <c r="I201" s="112"/>
      <c r="J201" s="133"/>
      <c r="K201" s="96"/>
      <c r="L201" s="134"/>
    </row>
    <row r="202" spans="3:12">
      <c r="C202" s="33"/>
      <c r="D202" s="43"/>
      <c r="E202" s="138"/>
      <c r="F202" s="112"/>
      <c r="G202" s="112"/>
      <c r="H202" s="112"/>
      <c r="I202" s="112"/>
      <c r="J202" s="133"/>
      <c r="K202" s="96"/>
      <c r="L202" s="134"/>
    </row>
    <row r="203" spans="3:12">
      <c r="C203" s="33"/>
      <c r="D203" s="43"/>
      <c r="E203" s="138"/>
      <c r="F203" s="112"/>
      <c r="G203" s="112"/>
      <c r="H203" s="112"/>
      <c r="I203" s="112"/>
      <c r="J203" s="133"/>
      <c r="K203" s="96"/>
      <c r="L203" s="134"/>
    </row>
    <row r="204" spans="3:12">
      <c r="C204" s="33"/>
      <c r="D204" s="43"/>
      <c r="E204" s="138"/>
      <c r="F204" s="112"/>
      <c r="G204" s="112"/>
      <c r="H204" s="112"/>
      <c r="I204" s="112"/>
      <c r="J204" s="133"/>
      <c r="K204" s="96"/>
      <c r="L204" s="134"/>
    </row>
    <row r="205" spans="3:12">
      <c r="C205" s="33"/>
      <c r="D205" s="43"/>
      <c r="E205" s="138"/>
      <c r="F205" s="112"/>
      <c r="G205" s="112"/>
      <c r="H205" s="112"/>
      <c r="I205" s="112"/>
      <c r="J205" s="133"/>
      <c r="K205" s="96"/>
      <c r="L205" s="134"/>
    </row>
    <row r="206" spans="3:12">
      <c r="C206" s="33"/>
      <c r="D206" s="43"/>
      <c r="E206" s="138"/>
      <c r="F206" s="112"/>
      <c r="G206" s="112"/>
      <c r="H206" s="112"/>
      <c r="I206" s="112"/>
      <c r="J206" s="133"/>
      <c r="K206" s="96"/>
      <c r="L206" s="134"/>
    </row>
    <row r="207" spans="3:12">
      <c r="C207" s="33"/>
      <c r="D207" s="43"/>
      <c r="E207" s="138"/>
      <c r="F207" s="112"/>
      <c r="G207" s="112"/>
      <c r="H207" s="112"/>
      <c r="I207" s="112"/>
      <c r="J207" s="133"/>
      <c r="K207" s="96"/>
      <c r="L207" s="134"/>
    </row>
    <row r="208" spans="3:12">
      <c r="C208" s="33"/>
      <c r="D208" s="43"/>
      <c r="E208" s="138"/>
      <c r="F208" s="112"/>
      <c r="G208" s="112"/>
      <c r="H208" s="112"/>
      <c r="I208" s="112"/>
      <c r="J208" s="133"/>
      <c r="K208" s="96"/>
      <c r="L208" s="134"/>
    </row>
    <row r="209" spans="3:12">
      <c r="C209" s="33"/>
      <c r="D209" s="43"/>
      <c r="E209" s="138"/>
      <c r="F209" s="112"/>
      <c r="G209" s="112"/>
      <c r="H209" s="112"/>
      <c r="I209" s="112"/>
      <c r="J209" s="133"/>
      <c r="K209" s="96"/>
      <c r="L209" s="134"/>
    </row>
    <row r="210" spans="3:12">
      <c r="C210" s="33"/>
      <c r="D210" s="43"/>
      <c r="E210" s="138"/>
      <c r="F210" s="112"/>
      <c r="G210" s="112"/>
      <c r="H210" s="112"/>
      <c r="I210" s="112"/>
      <c r="J210" s="133"/>
      <c r="K210" s="96"/>
      <c r="L210" s="134"/>
    </row>
    <row r="211" spans="3:12">
      <c r="C211" s="33"/>
      <c r="D211" s="43"/>
      <c r="E211" s="138"/>
      <c r="F211" s="112"/>
      <c r="G211" s="112"/>
      <c r="H211" s="112"/>
      <c r="I211" s="112"/>
      <c r="J211" s="133"/>
      <c r="K211" s="96"/>
      <c r="L211" s="134"/>
    </row>
    <row r="212" spans="3:12">
      <c r="C212" s="33"/>
      <c r="D212" s="43"/>
      <c r="E212" s="138"/>
      <c r="F212" s="112"/>
      <c r="G212" s="112"/>
      <c r="H212" s="112"/>
      <c r="I212" s="112"/>
      <c r="J212" s="133"/>
      <c r="K212" s="96"/>
      <c r="L212" s="134"/>
    </row>
    <row r="213" spans="3:12">
      <c r="C213" s="33"/>
      <c r="D213" s="43"/>
      <c r="E213" s="138"/>
      <c r="F213" s="112"/>
      <c r="G213" s="112"/>
      <c r="H213" s="112"/>
      <c r="I213" s="112"/>
      <c r="J213" s="133"/>
      <c r="K213" s="96"/>
      <c r="L213" s="134"/>
    </row>
    <row r="214" spans="3:12">
      <c r="C214" s="33"/>
      <c r="D214" s="43"/>
      <c r="E214" s="138"/>
      <c r="F214" s="112"/>
      <c r="G214" s="112"/>
      <c r="H214" s="112"/>
      <c r="I214" s="112"/>
      <c r="J214" s="133"/>
      <c r="K214" s="96"/>
      <c r="L214" s="134"/>
    </row>
    <row r="215" spans="3:12">
      <c r="C215" s="33"/>
      <c r="D215" s="43"/>
      <c r="E215" s="138"/>
      <c r="F215" s="112"/>
      <c r="G215" s="112"/>
      <c r="H215" s="112"/>
      <c r="I215" s="112"/>
      <c r="J215" s="133"/>
      <c r="K215" s="96"/>
      <c r="L215" s="134"/>
    </row>
    <row r="216" spans="3:12">
      <c r="C216" s="33"/>
      <c r="D216" s="43"/>
      <c r="E216" s="138"/>
      <c r="F216" s="112"/>
      <c r="G216" s="112"/>
      <c r="H216" s="112"/>
      <c r="I216" s="112"/>
      <c r="J216" s="133"/>
      <c r="K216" s="96"/>
      <c r="L216" s="134"/>
    </row>
    <row r="217" spans="3:12">
      <c r="C217" s="33"/>
      <c r="D217" s="43"/>
      <c r="E217" s="138"/>
      <c r="F217" s="112"/>
      <c r="G217" s="112"/>
      <c r="H217" s="112"/>
      <c r="I217" s="112"/>
      <c r="J217" s="133"/>
      <c r="K217" s="96"/>
      <c r="L217" s="134"/>
    </row>
    <row r="218" spans="3:12">
      <c r="C218" s="33"/>
      <c r="D218" s="43"/>
      <c r="E218" s="138"/>
      <c r="F218" s="112"/>
      <c r="G218" s="112"/>
      <c r="H218" s="112"/>
      <c r="I218" s="112"/>
      <c r="J218" s="133"/>
      <c r="K218" s="96"/>
      <c r="L218" s="134"/>
    </row>
    <row r="219" spans="3:12">
      <c r="C219" s="33"/>
      <c r="D219" s="43"/>
      <c r="E219" s="138"/>
      <c r="F219" s="112"/>
      <c r="G219" s="112"/>
      <c r="H219" s="112"/>
      <c r="I219" s="112"/>
      <c r="J219" s="133"/>
      <c r="K219" s="96"/>
      <c r="L219" s="134"/>
    </row>
    <row r="220" spans="3:12">
      <c r="C220" s="33"/>
      <c r="D220" s="43"/>
      <c r="E220" s="138"/>
      <c r="F220" s="112"/>
      <c r="G220" s="112"/>
      <c r="H220" s="112"/>
      <c r="I220" s="112"/>
      <c r="J220" s="133"/>
      <c r="K220" s="96"/>
      <c r="L220" s="134"/>
    </row>
    <row r="221" spans="3:12">
      <c r="C221" s="33"/>
      <c r="D221" s="43"/>
      <c r="E221" s="138"/>
      <c r="F221" s="112"/>
      <c r="G221" s="112"/>
      <c r="H221" s="112"/>
      <c r="I221" s="112"/>
      <c r="J221" s="133"/>
      <c r="K221" s="96"/>
      <c r="L221" s="134"/>
    </row>
    <row r="222" spans="3:12">
      <c r="C222" s="33"/>
      <c r="D222" s="43"/>
      <c r="E222" s="138"/>
      <c r="F222" s="112"/>
      <c r="G222" s="112"/>
      <c r="H222" s="112"/>
      <c r="I222" s="112"/>
      <c r="J222" s="133"/>
      <c r="K222" s="96"/>
      <c r="L222" s="134"/>
    </row>
    <row r="223" spans="3:12">
      <c r="C223" s="33"/>
      <c r="D223" s="43"/>
      <c r="E223" s="138"/>
      <c r="F223" s="112"/>
      <c r="G223" s="112"/>
      <c r="H223" s="112"/>
      <c r="I223" s="112"/>
      <c r="J223" s="133"/>
      <c r="K223" s="96"/>
      <c r="L223" s="134"/>
    </row>
    <row r="224" spans="3:12">
      <c r="C224" s="33"/>
      <c r="D224" s="43"/>
      <c r="E224" s="138"/>
      <c r="F224" s="112"/>
      <c r="G224" s="112"/>
      <c r="H224" s="112"/>
      <c r="I224" s="112"/>
      <c r="J224" s="133"/>
      <c r="K224" s="96"/>
      <c r="L224" s="134"/>
    </row>
    <row r="225" spans="3:12">
      <c r="C225" s="33"/>
      <c r="D225" s="43"/>
      <c r="E225" s="138"/>
      <c r="F225" s="112"/>
      <c r="G225" s="112"/>
      <c r="H225" s="112"/>
      <c r="I225" s="112"/>
      <c r="J225" s="133"/>
      <c r="K225" s="96"/>
      <c r="L225" s="134"/>
    </row>
    <row r="226" spans="3:12">
      <c r="C226" s="33"/>
      <c r="D226" s="43"/>
      <c r="E226" s="138"/>
      <c r="F226" s="112"/>
      <c r="G226" s="112"/>
      <c r="H226" s="112"/>
      <c r="I226" s="112"/>
      <c r="J226" s="133"/>
      <c r="K226" s="96"/>
      <c r="L226" s="134"/>
    </row>
    <row r="227" spans="3:12">
      <c r="C227" s="33"/>
      <c r="D227" s="43"/>
      <c r="E227" s="138"/>
      <c r="F227" s="112"/>
      <c r="G227" s="112"/>
      <c r="H227" s="112"/>
      <c r="I227" s="112"/>
      <c r="J227" s="133"/>
      <c r="K227" s="96"/>
      <c r="L227" s="134"/>
    </row>
    <row r="228" spans="3:12">
      <c r="C228" s="33"/>
      <c r="D228" s="43"/>
      <c r="E228" s="138"/>
      <c r="F228" s="112"/>
      <c r="G228" s="112"/>
      <c r="H228" s="112"/>
      <c r="I228" s="112"/>
      <c r="J228" s="133"/>
      <c r="K228" s="96"/>
      <c r="L228" s="134"/>
    </row>
    <row r="229" spans="3:12">
      <c r="C229" s="33"/>
      <c r="D229" s="43"/>
      <c r="E229" s="138"/>
      <c r="F229" s="112"/>
      <c r="G229" s="112"/>
      <c r="H229" s="112"/>
      <c r="I229" s="112"/>
      <c r="J229" s="133"/>
      <c r="K229" s="96"/>
      <c r="L229" s="134"/>
    </row>
    <row r="230" spans="3:12">
      <c r="C230" s="33"/>
      <c r="D230" s="43"/>
      <c r="E230" s="138"/>
      <c r="F230" s="112"/>
      <c r="G230" s="112"/>
      <c r="H230" s="112"/>
      <c r="I230" s="112"/>
      <c r="J230" s="133"/>
      <c r="K230" s="96"/>
      <c r="L230" s="134"/>
    </row>
    <row r="231" spans="3:12">
      <c r="C231" s="33"/>
      <c r="D231" s="43"/>
      <c r="E231" s="138"/>
      <c r="F231" s="112"/>
      <c r="G231" s="112"/>
      <c r="H231" s="112"/>
      <c r="I231" s="112"/>
      <c r="J231" s="133"/>
      <c r="K231" s="96"/>
      <c r="L231" s="134"/>
    </row>
    <row r="232" spans="3:12">
      <c r="C232" s="33"/>
      <c r="D232" s="43"/>
      <c r="E232" s="138"/>
      <c r="F232" s="112"/>
      <c r="G232" s="112"/>
      <c r="H232" s="112"/>
      <c r="I232" s="112"/>
      <c r="J232" s="133"/>
      <c r="K232" s="96"/>
      <c r="L232" s="134"/>
    </row>
    <row r="233" spans="3:12">
      <c r="C233" s="33"/>
      <c r="D233" s="43"/>
      <c r="E233" s="138"/>
      <c r="F233" s="112"/>
      <c r="G233" s="112"/>
      <c r="H233" s="112"/>
      <c r="I233" s="112"/>
      <c r="J233" s="133"/>
      <c r="K233" s="96"/>
      <c r="L233" s="134"/>
    </row>
    <row r="234" spans="3:12">
      <c r="C234" s="33"/>
      <c r="D234" s="43"/>
      <c r="E234" s="138"/>
      <c r="F234" s="112"/>
      <c r="G234" s="112"/>
      <c r="H234" s="112"/>
      <c r="I234" s="112"/>
      <c r="J234" s="133"/>
      <c r="K234" s="96"/>
      <c r="L234" s="134"/>
    </row>
    <row r="235" spans="3:12">
      <c r="C235" s="33"/>
      <c r="D235" s="43"/>
      <c r="E235" s="138"/>
      <c r="F235" s="112"/>
      <c r="G235" s="112"/>
      <c r="H235" s="112"/>
      <c r="I235" s="112"/>
      <c r="J235" s="133"/>
      <c r="K235" s="96"/>
      <c r="L235" s="134"/>
    </row>
    <row r="236" spans="3:12">
      <c r="C236" s="33"/>
      <c r="D236" s="43"/>
      <c r="E236" s="138"/>
      <c r="F236" s="112"/>
      <c r="G236" s="112"/>
      <c r="H236" s="112"/>
      <c r="I236" s="112"/>
      <c r="J236" s="133"/>
      <c r="K236" s="96"/>
      <c r="L236" s="134"/>
    </row>
    <row r="237" spans="3:12">
      <c r="C237" s="33"/>
      <c r="D237" s="43"/>
      <c r="E237" s="138"/>
      <c r="F237" s="112"/>
      <c r="G237" s="112"/>
      <c r="H237" s="112"/>
      <c r="I237" s="112"/>
      <c r="J237" s="133"/>
      <c r="K237" s="96"/>
      <c r="L237" s="134"/>
    </row>
    <row r="238" spans="3:12">
      <c r="C238" s="33"/>
      <c r="D238" s="43"/>
      <c r="E238" s="138"/>
      <c r="F238" s="112"/>
      <c r="G238" s="112"/>
      <c r="H238" s="112"/>
      <c r="I238" s="112"/>
      <c r="J238" s="133"/>
      <c r="K238" s="96"/>
      <c r="L238" s="134"/>
    </row>
    <row r="239" spans="3:12">
      <c r="C239" s="33"/>
      <c r="D239" s="43"/>
      <c r="E239" s="138"/>
      <c r="F239" s="112"/>
      <c r="G239" s="112"/>
      <c r="H239" s="112"/>
      <c r="I239" s="112"/>
      <c r="J239" s="133"/>
      <c r="K239" s="96"/>
      <c r="L239" s="134"/>
    </row>
    <row r="240" spans="3:12">
      <c r="C240" s="33"/>
      <c r="D240" s="43"/>
      <c r="E240" s="138"/>
      <c r="F240" s="112"/>
      <c r="G240" s="112"/>
      <c r="H240" s="112"/>
      <c r="I240" s="112"/>
      <c r="J240" s="133"/>
      <c r="K240" s="96"/>
      <c r="L240" s="134"/>
    </row>
    <row r="241" spans="3:12">
      <c r="C241" s="33"/>
      <c r="D241" s="43"/>
      <c r="E241" s="138"/>
      <c r="F241" s="112"/>
      <c r="G241" s="112"/>
      <c r="H241" s="112"/>
      <c r="I241" s="112"/>
      <c r="J241" s="133"/>
      <c r="K241" s="96"/>
      <c r="L241" s="134"/>
    </row>
    <row r="242" spans="3:12">
      <c r="C242" s="33"/>
      <c r="D242" s="43"/>
      <c r="E242" s="138"/>
      <c r="F242" s="112"/>
      <c r="G242" s="112"/>
      <c r="H242" s="112"/>
      <c r="I242" s="112"/>
      <c r="J242" s="133"/>
      <c r="K242" s="96"/>
      <c r="L242" s="134"/>
    </row>
    <row r="243" spans="3:12">
      <c r="C243" s="33"/>
      <c r="D243" s="43"/>
      <c r="E243" s="138"/>
      <c r="F243" s="112"/>
      <c r="G243" s="112"/>
      <c r="H243" s="112"/>
      <c r="I243" s="112"/>
      <c r="J243" s="133"/>
      <c r="K243" s="96"/>
      <c r="L243" s="134"/>
    </row>
    <row r="244" spans="3:12">
      <c r="C244" s="33"/>
      <c r="D244" s="43"/>
      <c r="E244" s="138"/>
      <c r="F244" s="112"/>
      <c r="G244" s="112"/>
      <c r="H244" s="112"/>
      <c r="I244" s="112"/>
      <c r="J244" s="133"/>
      <c r="K244" s="96"/>
      <c r="L244" s="134"/>
    </row>
    <row r="245" spans="3:12">
      <c r="C245" s="33"/>
      <c r="D245" s="43"/>
      <c r="E245" s="138"/>
      <c r="F245" s="112"/>
      <c r="G245" s="112"/>
      <c r="H245" s="112"/>
      <c r="I245" s="112"/>
      <c r="J245" s="133"/>
      <c r="K245" s="96"/>
      <c r="L245" s="134"/>
    </row>
    <row r="246" spans="3:12">
      <c r="C246" s="33"/>
      <c r="D246" s="43"/>
      <c r="E246" s="138"/>
      <c r="F246" s="112"/>
      <c r="G246" s="112"/>
      <c r="H246" s="112"/>
      <c r="I246" s="112"/>
      <c r="J246" s="133"/>
      <c r="K246" s="96"/>
      <c r="L246" s="134"/>
    </row>
    <row r="247" spans="3:12">
      <c r="C247" s="33"/>
      <c r="D247" s="43"/>
      <c r="E247" s="138"/>
      <c r="F247" s="112"/>
      <c r="G247" s="112"/>
      <c r="H247" s="112"/>
      <c r="I247" s="112"/>
      <c r="J247" s="133"/>
      <c r="K247" s="96"/>
      <c r="L247" s="134"/>
    </row>
    <row r="248" spans="3:12">
      <c r="C248" s="33"/>
      <c r="D248" s="43"/>
      <c r="E248" s="138"/>
      <c r="F248" s="112"/>
      <c r="G248" s="112"/>
      <c r="H248" s="112"/>
      <c r="I248" s="112"/>
      <c r="J248" s="133"/>
      <c r="K248" s="96"/>
      <c r="L248" s="134"/>
    </row>
    <row r="249" spans="3:12">
      <c r="C249" s="33"/>
      <c r="D249" s="43"/>
      <c r="E249" s="138"/>
      <c r="F249" s="112"/>
      <c r="G249" s="112"/>
      <c r="H249" s="112"/>
      <c r="I249" s="112"/>
      <c r="J249" s="133"/>
      <c r="K249" s="96"/>
      <c r="L249" s="134"/>
    </row>
    <row r="250" spans="3:12">
      <c r="C250" s="33"/>
      <c r="D250" s="43"/>
      <c r="E250" s="138"/>
      <c r="F250" s="112"/>
      <c r="G250" s="112"/>
      <c r="H250" s="112"/>
      <c r="I250" s="112"/>
      <c r="J250" s="133"/>
      <c r="K250" s="96"/>
      <c r="L250" s="134"/>
    </row>
    <row r="251" spans="3:12">
      <c r="C251" s="33"/>
      <c r="D251" s="43"/>
      <c r="E251" s="138"/>
      <c r="F251" s="112"/>
      <c r="G251" s="112"/>
      <c r="H251" s="112"/>
      <c r="I251" s="112"/>
      <c r="J251" s="133"/>
      <c r="K251" s="96"/>
      <c r="L251" s="134"/>
    </row>
    <row r="252" spans="3:12">
      <c r="C252" s="33"/>
      <c r="D252" s="43"/>
      <c r="E252" s="138"/>
      <c r="F252" s="112"/>
      <c r="G252" s="112"/>
      <c r="H252" s="112"/>
      <c r="I252" s="112"/>
      <c r="J252" s="133"/>
      <c r="K252" s="96"/>
      <c r="L252" s="134"/>
    </row>
    <row r="253" spans="3:12">
      <c r="C253" s="33"/>
      <c r="D253" s="43"/>
      <c r="E253" s="138"/>
      <c r="F253" s="112"/>
      <c r="G253" s="112"/>
      <c r="H253" s="112"/>
      <c r="I253" s="112"/>
      <c r="J253" s="133"/>
      <c r="K253" s="96"/>
      <c r="L253" s="134"/>
    </row>
    <row r="254" spans="3:12">
      <c r="C254" s="33"/>
      <c r="D254" s="43"/>
      <c r="E254" s="138"/>
      <c r="F254" s="112"/>
      <c r="G254" s="112"/>
      <c r="H254" s="112"/>
      <c r="I254" s="112"/>
      <c r="J254" s="133"/>
      <c r="K254" s="96"/>
      <c r="L254" s="134"/>
    </row>
    <row r="255" spans="3:12">
      <c r="C255" s="33"/>
      <c r="D255" s="43"/>
      <c r="E255" s="138"/>
      <c r="F255" s="112"/>
      <c r="G255" s="112"/>
      <c r="H255" s="112"/>
      <c r="I255" s="112"/>
      <c r="J255" s="133"/>
      <c r="K255" s="96"/>
      <c r="L255" s="134"/>
    </row>
    <row r="256" spans="3:12">
      <c r="C256" s="33"/>
      <c r="D256" s="43"/>
      <c r="E256" s="138"/>
      <c r="F256" s="112"/>
      <c r="G256" s="112"/>
      <c r="H256" s="112"/>
      <c r="I256" s="112"/>
      <c r="J256" s="133"/>
      <c r="K256" s="96"/>
      <c r="L256" s="134"/>
    </row>
    <row r="257" spans="3:12">
      <c r="C257" s="33"/>
      <c r="D257" s="43"/>
      <c r="E257" s="138"/>
      <c r="F257" s="112"/>
      <c r="G257" s="112"/>
      <c r="H257" s="112"/>
      <c r="I257" s="112"/>
      <c r="J257" s="133"/>
      <c r="K257" s="96"/>
      <c r="L257" s="134"/>
    </row>
    <row r="258" spans="3:12">
      <c r="C258" s="33"/>
      <c r="D258" s="43"/>
      <c r="E258" s="138"/>
      <c r="F258" s="112"/>
      <c r="G258" s="112"/>
      <c r="H258" s="112"/>
      <c r="I258" s="112"/>
      <c r="J258" s="133"/>
      <c r="K258" s="96"/>
      <c r="L258" s="134"/>
    </row>
    <row r="259" spans="3:12">
      <c r="C259" s="33"/>
      <c r="D259" s="43"/>
      <c r="E259" s="138"/>
      <c r="F259" s="112"/>
      <c r="G259" s="112"/>
      <c r="H259" s="112"/>
      <c r="I259" s="112"/>
      <c r="J259" s="133"/>
      <c r="K259" s="96"/>
      <c r="L259" s="134"/>
    </row>
    <row r="260" spans="3:12">
      <c r="C260" s="33"/>
      <c r="D260" s="43"/>
      <c r="E260" s="138"/>
      <c r="F260" s="112"/>
      <c r="G260" s="112"/>
      <c r="H260" s="112"/>
      <c r="I260" s="112"/>
      <c r="J260" s="133"/>
      <c r="K260" s="96"/>
      <c r="L260" s="134"/>
    </row>
    <row r="261" spans="3:12">
      <c r="C261" s="33"/>
      <c r="D261" s="43"/>
      <c r="E261" s="138"/>
      <c r="F261" s="112"/>
      <c r="G261" s="112"/>
      <c r="H261" s="112"/>
      <c r="I261" s="112"/>
      <c r="J261" s="133"/>
      <c r="K261" s="96"/>
      <c r="L261" s="134"/>
    </row>
    <row r="262" spans="3:12">
      <c r="C262" s="33"/>
      <c r="D262" s="43"/>
      <c r="E262" s="138"/>
      <c r="F262" s="112"/>
      <c r="G262" s="112"/>
      <c r="H262" s="112"/>
      <c r="I262" s="112"/>
      <c r="J262" s="133"/>
      <c r="K262" s="96"/>
      <c r="L262" s="134"/>
    </row>
    <row r="263" spans="3:12">
      <c r="C263" s="33"/>
      <c r="D263" s="43"/>
      <c r="E263" s="138"/>
      <c r="F263" s="112"/>
      <c r="G263" s="112"/>
      <c r="H263" s="112"/>
      <c r="I263" s="112"/>
      <c r="J263" s="133"/>
      <c r="K263" s="96"/>
      <c r="L263" s="134"/>
    </row>
    <row r="264" spans="3:12">
      <c r="C264" s="33"/>
      <c r="D264" s="43"/>
      <c r="E264" s="138"/>
      <c r="F264" s="112"/>
      <c r="G264" s="112"/>
      <c r="H264" s="112"/>
      <c r="I264" s="112"/>
      <c r="J264" s="133"/>
      <c r="K264" s="96"/>
      <c r="L264" s="134"/>
    </row>
    <row r="265" spans="3:12">
      <c r="C265" s="33"/>
      <c r="D265" s="43"/>
      <c r="E265" s="138"/>
      <c r="F265" s="112"/>
      <c r="G265" s="112"/>
      <c r="H265" s="112"/>
      <c r="I265" s="112"/>
      <c r="J265" s="133"/>
      <c r="K265" s="96"/>
      <c r="L265" s="134"/>
    </row>
    <row r="266" spans="3:12">
      <c r="C266" s="33"/>
      <c r="D266" s="43"/>
      <c r="E266" s="138"/>
      <c r="F266" s="112"/>
      <c r="G266" s="112"/>
      <c r="H266" s="112"/>
      <c r="I266" s="112"/>
      <c r="J266" s="133"/>
      <c r="K266" s="96"/>
      <c r="L266" s="134"/>
    </row>
    <row r="267" spans="3:12">
      <c r="C267" s="33"/>
      <c r="D267" s="43"/>
      <c r="E267" s="138"/>
      <c r="F267" s="112"/>
      <c r="G267" s="112"/>
      <c r="H267" s="112"/>
      <c r="I267" s="112"/>
      <c r="J267" s="133"/>
      <c r="K267" s="96"/>
      <c r="L267" s="134"/>
    </row>
    <row r="268" spans="3:12">
      <c r="C268" s="33"/>
      <c r="D268" s="43"/>
      <c r="E268" s="138"/>
      <c r="F268" s="112"/>
      <c r="G268" s="112"/>
      <c r="H268" s="112"/>
      <c r="I268" s="112"/>
      <c r="J268" s="133"/>
      <c r="K268" s="96"/>
      <c r="L268" s="134"/>
    </row>
    <row r="269" spans="3:12">
      <c r="C269" s="33"/>
      <c r="D269" s="43"/>
      <c r="E269" s="138"/>
      <c r="F269" s="112"/>
      <c r="G269" s="112"/>
      <c r="H269" s="112"/>
      <c r="I269" s="112"/>
      <c r="J269" s="133"/>
      <c r="K269" s="96"/>
      <c r="L269" s="134"/>
    </row>
    <row r="270" spans="3:12">
      <c r="C270" s="33"/>
      <c r="D270" s="43"/>
      <c r="E270" s="138"/>
      <c r="F270" s="112"/>
      <c r="G270" s="112"/>
      <c r="H270" s="112"/>
      <c r="I270" s="112"/>
      <c r="J270" s="133"/>
      <c r="K270" s="96"/>
      <c r="L270" s="134"/>
    </row>
    <row r="271" spans="3:12">
      <c r="C271" s="33"/>
      <c r="D271" s="43"/>
      <c r="E271" s="138"/>
      <c r="F271" s="112"/>
      <c r="G271" s="112"/>
      <c r="H271" s="112"/>
      <c r="I271" s="112"/>
      <c r="J271" s="133"/>
      <c r="K271" s="96"/>
      <c r="L271" s="134"/>
    </row>
    <row r="272" spans="3:12">
      <c r="C272" s="33"/>
      <c r="D272" s="43"/>
      <c r="E272" s="138"/>
      <c r="F272" s="112"/>
      <c r="G272" s="112"/>
      <c r="H272" s="112"/>
      <c r="I272" s="112"/>
      <c r="J272" s="133"/>
      <c r="K272" s="96"/>
      <c r="L272" s="134"/>
    </row>
    <row r="273" spans="3:12">
      <c r="C273" s="33"/>
      <c r="D273" s="43"/>
      <c r="E273" s="138"/>
      <c r="F273" s="112"/>
      <c r="G273" s="112"/>
      <c r="H273" s="112"/>
      <c r="I273" s="112"/>
      <c r="J273" s="133"/>
      <c r="K273" s="96"/>
      <c r="L273" s="134"/>
    </row>
    <row r="274" spans="3:12">
      <c r="C274" s="33"/>
      <c r="D274" s="43"/>
      <c r="E274" s="138"/>
      <c r="F274" s="112"/>
      <c r="G274" s="112"/>
      <c r="H274" s="112"/>
      <c r="I274" s="112"/>
      <c r="J274" s="133"/>
      <c r="K274" s="96"/>
      <c r="L274" s="134"/>
    </row>
    <row r="275" spans="3:12">
      <c r="C275" s="33"/>
      <c r="D275" s="43"/>
      <c r="E275" s="138"/>
      <c r="F275" s="112"/>
      <c r="G275" s="112"/>
      <c r="H275" s="112"/>
      <c r="I275" s="112"/>
      <c r="J275" s="133"/>
      <c r="K275" s="96"/>
      <c r="L275" s="134"/>
    </row>
    <row r="276" spans="3:12">
      <c r="C276" s="33"/>
      <c r="D276" s="43"/>
      <c r="E276" s="138"/>
      <c r="F276" s="112"/>
      <c r="G276" s="112"/>
      <c r="H276" s="112"/>
      <c r="I276" s="112"/>
      <c r="J276" s="133"/>
      <c r="K276" s="96"/>
      <c r="L276" s="134"/>
    </row>
    <row r="277" spans="3:12">
      <c r="C277" s="33"/>
      <c r="D277" s="43"/>
      <c r="E277" s="138"/>
      <c r="F277" s="112"/>
      <c r="G277" s="112"/>
      <c r="H277" s="112"/>
      <c r="I277" s="112"/>
      <c r="J277" s="133"/>
      <c r="K277" s="96"/>
      <c r="L277" s="134"/>
    </row>
    <row r="278" spans="3:12">
      <c r="C278" s="33"/>
      <c r="D278" s="43"/>
      <c r="E278" s="138"/>
      <c r="F278" s="112"/>
      <c r="G278" s="112"/>
      <c r="H278" s="112"/>
      <c r="I278" s="112"/>
      <c r="J278" s="133"/>
      <c r="K278" s="96"/>
      <c r="L278" s="134"/>
    </row>
    <row r="279" spans="3:12">
      <c r="C279" s="33"/>
      <c r="D279" s="43"/>
      <c r="E279" s="138"/>
      <c r="F279" s="112"/>
      <c r="G279" s="112"/>
      <c r="H279" s="112"/>
      <c r="I279" s="112"/>
      <c r="J279" s="133"/>
      <c r="K279" s="96"/>
      <c r="L279" s="134"/>
    </row>
    <row r="280" spans="3:12">
      <c r="C280" s="33"/>
      <c r="D280" s="43"/>
      <c r="E280" s="138"/>
      <c r="F280" s="112"/>
      <c r="G280" s="112"/>
      <c r="H280" s="112"/>
      <c r="I280" s="112"/>
      <c r="J280" s="133"/>
      <c r="K280" s="96"/>
      <c r="L280" s="134"/>
    </row>
    <row r="281" spans="3:12">
      <c r="C281" s="33"/>
      <c r="D281" s="43"/>
      <c r="E281" s="138"/>
      <c r="F281" s="112"/>
      <c r="G281" s="112"/>
      <c r="H281" s="112"/>
      <c r="I281" s="112"/>
      <c r="J281" s="133"/>
      <c r="K281" s="96"/>
      <c r="L281" s="134"/>
    </row>
    <row r="282" spans="3:12">
      <c r="C282" s="33"/>
      <c r="D282" s="43"/>
      <c r="E282" s="138"/>
      <c r="F282" s="112"/>
      <c r="G282" s="112"/>
      <c r="H282" s="112"/>
      <c r="I282" s="112"/>
      <c r="J282" s="133"/>
      <c r="K282" s="96"/>
      <c r="L282" s="134"/>
    </row>
    <row r="283" spans="3:12">
      <c r="C283" s="33"/>
      <c r="D283" s="43"/>
      <c r="E283" s="138"/>
      <c r="F283" s="112"/>
      <c r="G283" s="112"/>
      <c r="H283" s="112"/>
      <c r="I283" s="112"/>
      <c r="J283" s="133"/>
      <c r="K283" s="96"/>
      <c r="L283" s="134"/>
    </row>
    <row r="284" spans="3:12">
      <c r="C284" s="33"/>
      <c r="D284" s="43"/>
      <c r="E284" s="138"/>
      <c r="F284" s="112"/>
      <c r="G284" s="112"/>
      <c r="H284" s="112"/>
      <c r="I284" s="112"/>
      <c r="J284" s="133"/>
      <c r="K284" s="96"/>
      <c r="L284" s="134"/>
    </row>
    <row r="285" spans="3:12">
      <c r="C285" s="33"/>
      <c r="D285" s="43"/>
      <c r="E285" s="138"/>
      <c r="F285" s="112"/>
      <c r="G285" s="112"/>
      <c r="H285" s="112"/>
      <c r="I285" s="112"/>
      <c r="J285" s="133"/>
      <c r="K285" s="96"/>
      <c r="L285" s="134"/>
    </row>
    <row r="286" spans="3:12">
      <c r="C286" s="33"/>
      <c r="D286" s="43"/>
      <c r="E286" s="138"/>
      <c r="F286" s="112"/>
      <c r="G286" s="112"/>
      <c r="H286" s="112"/>
      <c r="I286" s="112"/>
      <c r="J286" s="133"/>
      <c r="K286" s="96"/>
      <c r="L286" s="134"/>
    </row>
    <row r="287" spans="3:12">
      <c r="C287" s="33"/>
      <c r="D287" s="43"/>
      <c r="E287" s="138"/>
      <c r="F287" s="112"/>
      <c r="G287" s="112"/>
      <c r="H287" s="112"/>
      <c r="I287" s="112"/>
      <c r="J287" s="133"/>
      <c r="K287" s="96"/>
      <c r="L287" s="134"/>
    </row>
    <row r="288" spans="3:12">
      <c r="C288" s="33"/>
      <c r="D288" s="43"/>
      <c r="E288" s="138"/>
      <c r="F288" s="112"/>
      <c r="G288" s="112"/>
      <c r="H288" s="112"/>
      <c r="I288" s="112"/>
      <c r="J288" s="133"/>
      <c r="K288" s="96"/>
      <c r="L288" s="134"/>
    </row>
    <row r="289" spans="3:12">
      <c r="C289" s="33"/>
      <c r="D289" s="43"/>
      <c r="E289" s="138"/>
      <c r="F289" s="112"/>
      <c r="G289" s="112"/>
      <c r="H289" s="112"/>
      <c r="I289" s="112"/>
      <c r="J289" s="133"/>
      <c r="K289" s="96"/>
      <c r="L289" s="134"/>
    </row>
    <row r="290" spans="3:12">
      <c r="C290" s="33"/>
      <c r="D290" s="43"/>
      <c r="E290" s="138"/>
      <c r="F290" s="112"/>
      <c r="G290" s="112"/>
      <c r="H290" s="112"/>
      <c r="I290" s="112"/>
      <c r="J290" s="133"/>
      <c r="K290" s="96"/>
      <c r="L290" s="134"/>
    </row>
    <row r="291" spans="3:12">
      <c r="C291" s="33"/>
      <c r="D291" s="43"/>
      <c r="E291" s="138"/>
      <c r="F291" s="112"/>
      <c r="G291" s="112"/>
      <c r="H291" s="112"/>
      <c r="I291" s="112"/>
      <c r="J291" s="133"/>
      <c r="K291" s="96"/>
      <c r="L291" s="134"/>
    </row>
    <row r="292" spans="3:12">
      <c r="C292" s="33"/>
      <c r="D292" s="43"/>
      <c r="E292" s="138"/>
      <c r="F292" s="112"/>
      <c r="G292" s="112"/>
      <c r="H292" s="112"/>
      <c r="I292" s="112"/>
      <c r="J292" s="133"/>
      <c r="K292" s="96"/>
      <c r="L292" s="134"/>
    </row>
    <row r="293" spans="3:12">
      <c r="C293" s="33"/>
      <c r="D293" s="43"/>
      <c r="E293" s="138"/>
      <c r="F293" s="112"/>
      <c r="G293" s="112"/>
      <c r="H293" s="112"/>
      <c r="I293" s="112"/>
      <c r="J293" s="133"/>
      <c r="K293" s="96"/>
      <c r="L293" s="134"/>
    </row>
    <row r="294" spans="3:12">
      <c r="C294" s="33"/>
      <c r="D294" s="43"/>
      <c r="E294" s="138"/>
      <c r="F294" s="112"/>
      <c r="G294" s="112"/>
      <c r="H294" s="112"/>
      <c r="I294" s="112"/>
      <c r="J294" s="133"/>
      <c r="K294" s="96"/>
      <c r="L294" s="134"/>
    </row>
    <row r="295" spans="3:12">
      <c r="C295" s="33"/>
      <c r="D295" s="43"/>
      <c r="E295" s="138"/>
      <c r="F295" s="112"/>
      <c r="G295" s="112"/>
      <c r="H295" s="112"/>
      <c r="I295" s="112"/>
      <c r="J295" s="133"/>
      <c r="K295" s="96"/>
      <c r="L295" s="134"/>
    </row>
    <row r="296" spans="3:12">
      <c r="C296" s="33"/>
      <c r="D296" s="43"/>
      <c r="E296" s="138"/>
      <c r="F296" s="112"/>
      <c r="G296" s="112"/>
      <c r="H296" s="112"/>
      <c r="I296" s="112"/>
      <c r="J296" s="133"/>
      <c r="K296" s="96"/>
      <c r="L296" s="134"/>
    </row>
    <row r="297" spans="3:12">
      <c r="C297" s="33"/>
      <c r="D297" s="43"/>
      <c r="E297" s="138"/>
      <c r="F297" s="112"/>
      <c r="G297" s="112"/>
      <c r="H297" s="112"/>
      <c r="I297" s="112"/>
      <c r="J297" s="133"/>
      <c r="K297" s="96"/>
      <c r="L297" s="134"/>
    </row>
    <row r="298" spans="3:12">
      <c r="C298" s="33"/>
      <c r="D298" s="43"/>
      <c r="E298" s="138"/>
      <c r="F298" s="112"/>
      <c r="G298" s="112"/>
      <c r="H298" s="112"/>
      <c r="I298" s="112"/>
      <c r="J298" s="133"/>
      <c r="K298" s="96"/>
      <c r="L298" s="134"/>
    </row>
    <row r="299" spans="3:12">
      <c r="C299" s="33"/>
      <c r="D299" s="43"/>
      <c r="E299" s="138"/>
      <c r="F299" s="112"/>
      <c r="G299" s="112"/>
      <c r="H299" s="112"/>
      <c r="I299" s="112"/>
      <c r="J299" s="133"/>
      <c r="K299" s="96"/>
      <c r="L299" s="134"/>
    </row>
    <row r="300" spans="3:12">
      <c r="C300" s="33"/>
      <c r="D300" s="43"/>
      <c r="E300" s="138"/>
      <c r="F300" s="112"/>
      <c r="G300" s="112"/>
      <c r="H300" s="112"/>
      <c r="I300" s="112"/>
      <c r="J300" s="133"/>
      <c r="K300" s="96"/>
      <c r="L300" s="134"/>
    </row>
    <row r="301" spans="3:12">
      <c r="C301" s="33"/>
      <c r="D301" s="43"/>
      <c r="E301" s="138"/>
      <c r="F301" s="112"/>
      <c r="G301" s="112"/>
      <c r="H301" s="112"/>
      <c r="I301" s="112"/>
      <c r="J301" s="133"/>
      <c r="K301" s="96"/>
      <c r="L301" s="134"/>
    </row>
    <row r="302" spans="3:12">
      <c r="C302" s="33"/>
      <c r="D302" s="43"/>
      <c r="E302" s="138"/>
      <c r="F302" s="112"/>
      <c r="G302" s="112"/>
      <c r="H302" s="112"/>
      <c r="I302" s="112"/>
      <c r="J302" s="133"/>
      <c r="K302" s="96"/>
      <c r="L302" s="134"/>
    </row>
    <row r="303" spans="3:12">
      <c r="C303" s="33"/>
      <c r="D303" s="43"/>
      <c r="E303" s="138"/>
      <c r="F303" s="112"/>
      <c r="G303" s="112"/>
      <c r="H303" s="112"/>
      <c r="I303" s="112"/>
      <c r="J303" s="133"/>
      <c r="K303" s="96"/>
      <c r="L303" s="134"/>
    </row>
    <row r="304" spans="3:12">
      <c r="C304" s="33"/>
      <c r="D304" s="43"/>
      <c r="E304" s="138"/>
      <c r="F304" s="112"/>
      <c r="G304" s="112"/>
      <c r="H304" s="112"/>
      <c r="I304" s="112"/>
      <c r="J304" s="133"/>
      <c r="K304" s="96"/>
      <c r="L304" s="134"/>
    </row>
    <row r="305" spans="3:12">
      <c r="C305" s="33"/>
      <c r="D305" s="43"/>
      <c r="E305" s="138"/>
      <c r="F305" s="112"/>
      <c r="G305" s="112"/>
      <c r="H305" s="112"/>
      <c r="I305" s="112"/>
      <c r="J305" s="133"/>
      <c r="K305" s="96"/>
      <c r="L305" s="134"/>
    </row>
    <row r="306" spans="3:12">
      <c r="C306" s="33"/>
      <c r="D306" s="43"/>
      <c r="E306" s="138"/>
      <c r="F306" s="112"/>
      <c r="G306" s="112"/>
      <c r="H306" s="112"/>
      <c r="I306" s="112"/>
      <c r="J306" s="133"/>
      <c r="K306" s="96"/>
      <c r="L306" s="134"/>
    </row>
    <row r="307" spans="3:12">
      <c r="C307" s="33"/>
      <c r="D307" s="43"/>
      <c r="E307" s="138"/>
      <c r="F307" s="112"/>
      <c r="G307" s="112"/>
      <c r="H307" s="112"/>
      <c r="I307" s="112"/>
      <c r="J307" s="133"/>
      <c r="K307" s="96"/>
      <c r="L307" s="134"/>
    </row>
    <row r="308" spans="3:12">
      <c r="C308" s="33"/>
      <c r="D308" s="43"/>
      <c r="E308" s="138"/>
      <c r="F308" s="112"/>
      <c r="G308" s="112"/>
      <c r="H308" s="112"/>
      <c r="I308" s="112"/>
      <c r="J308" s="133"/>
      <c r="K308" s="96"/>
      <c r="L308" s="134"/>
    </row>
    <row r="309" spans="3:12">
      <c r="C309" s="33"/>
      <c r="D309" s="43"/>
      <c r="E309" s="139"/>
      <c r="F309" s="112"/>
      <c r="G309" s="112"/>
      <c r="H309" s="112"/>
      <c r="I309" s="112"/>
      <c r="J309" s="135"/>
      <c r="K309" s="136"/>
      <c r="L309" s="134"/>
    </row>
    <row r="310" spans="3:12">
      <c r="C310" s="33"/>
      <c r="D310" s="43"/>
      <c r="E310" s="139"/>
      <c r="F310" s="112"/>
      <c r="G310" s="112"/>
      <c r="H310" s="112"/>
      <c r="I310" s="112"/>
      <c r="J310" s="135"/>
      <c r="K310" s="136"/>
      <c r="L310" s="134"/>
    </row>
    <row r="311" spans="3:12">
      <c r="C311" s="33"/>
      <c r="D311" s="43"/>
      <c r="E311" s="139"/>
      <c r="F311" s="112"/>
      <c r="G311" s="112"/>
      <c r="H311" s="112"/>
      <c r="I311" s="112"/>
      <c r="J311" s="135"/>
      <c r="K311" s="136"/>
      <c r="L311" s="134"/>
    </row>
    <row r="312" spans="3:12">
      <c r="C312" s="33"/>
      <c r="D312" s="43"/>
      <c r="E312" s="139"/>
      <c r="F312" s="112"/>
      <c r="G312" s="112"/>
      <c r="H312" s="112"/>
      <c r="I312" s="112"/>
      <c r="J312" s="135"/>
      <c r="K312" s="136"/>
      <c r="L312" s="134"/>
    </row>
    <row r="313" spans="3:12">
      <c r="C313" s="33"/>
      <c r="D313" s="43"/>
      <c r="E313" s="139"/>
      <c r="F313" s="112"/>
      <c r="G313" s="112"/>
      <c r="H313" s="112"/>
      <c r="I313" s="112"/>
      <c r="J313" s="135"/>
      <c r="K313" s="136"/>
      <c r="L313" s="134"/>
    </row>
    <row r="314" spans="3:12">
      <c r="C314" s="33"/>
      <c r="D314" s="43"/>
      <c r="E314" s="139"/>
      <c r="F314" s="112"/>
      <c r="G314" s="112"/>
      <c r="H314" s="112"/>
      <c r="I314" s="112"/>
      <c r="J314" s="135"/>
      <c r="K314" s="136"/>
      <c r="L314" s="134"/>
    </row>
    <row r="315" spans="3:12">
      <c r="C315" s="33"/>
      <c r="D315" s="43"/>
      <c r="E315" s="139"/>
      <c r="F315" s="112"/>
      <c r="G315" s="112"/>
      <c r="H315" s="112"/>
      <c r="I315" s="112"/>
      <c r="J315" s="135"/>
      <c r="K315" s="136"/>
      <c r="L315" s="134"/>
    </row>
    <row r="316" spans="3:12">
      <c r="C316" s="33"/>
      <c r="D316" s="43"/>
      <c r="E316" s="139"/>
      <c r="F316" s="112"/>
      <c r="G316" s="112"/>
      <c r="H316" s="112"/>
      <c r="I316" s="112"/>
      <c r="J316" s="135"/>
      <c r="K316" s="136"/>
      <c r="L316" s="134"/>
    </row>
    <row r="317" spans="3:12">
      <c r="C317" s="33"/>
      <c r="D317" s="43"/>
      <c r="E317" s="139"/>
      <c r="F317" s="112"/>
      <c r="G317" s="112"/>
      <c r="H317" s="112"/>
      <c r="I317" s="112"/>
      <c r="J317" s="135"/>
      <c r="K317" s="136"/>
      <c r="L317" s="134"/>
    </row>
    <row r="318" spans="3:12">
      <c r="C318" s="33"/>
      <c r="D318" s="43"/>
      <c r="E318" s="139"/>
      <c r="F318" s="112"/>
      <c r="G318" s="112"/>
      <c r="H318" s="112"/>
      <c r="I318" s="112"/>
      <c r="J318" s="135"/>
      <c r="K318" s="136"/>
      <c r="L318" s="134"/>
    </row>
    <row r="319" spans="3:12">
      <c r="C319" s="33"/>
      <c r="D319" s="43"/>
      <c r="E319" s="139"/>
      <c r="F319" s="112"/>
      <c r="G319" s="112"/>
      <c r="H319" s="112"/>
      <c r="I319" s="112"/>
      <c r="J319" s="135"/>
      <c r="K319" s="136"/>
      <c r="L319" s="134"/>
    </row>
    <row r="320" spans="3:12">
      <c r="C320" s="33"/>
      <c r="D320" s="43"/>
      <c r="E320" s="139"/>
      <c r="F320" s="112"/>
      <c r="G320" s="112"/>
      <c r="H320" s="112"/>
      <c r="I320" s="112"/>
      <c r="J320" s="135"/>
      <c r="K320" s="136"/>
      <c r="L320" s="134"/>
    </row>
    <row r="321" spans="3:12">
      <c r="C321" s="33"/>
      <c r="D321" s="43"/>
      <c r="E321" s="139"/>
      <c r="F321" s="112"/>
      <c r="G321" s="112"/>
      <c r="H321" s="112"/>
      <c r="I321" s="112"/>
      <c r="J321" s="135"/>
      <c r="K321" s="136"/>
      <c r="L321" s="134"/>
    </row>
    <row r="322" spans="3:12">
      <c r="C322" s="33"/>
      <c r="D322" s="43"/>
      <c r="E322" s="139"/>
      <c r="F322" s="112"/>
      <c r="G322" s="112"/>
      <c r="H322" s="112"/>
      <c r="I322" s="112"/>
      <c r="J322" s="135"/>
      <c r="K322" s="136"/>
      <c r="L322" s="134"/>
    </row>
    <row r="323" spans="3:12">
      <c r="C323" s="33"/>
      <c r="D323" s="43"/>
      <c r="E323" s="139"/>
      <c r="F323" s="112"/>
      <c r="G323" s="112"/>
      <c r="H323" s="112"/>
      <c r="I323" s="112"/>
      <c r="J323" s="135"/>
      <c r="K323" s="136"/>
      <c r="L323" s="134"/>
    </row>
    <row r="324" spans="3:12">
      <c r="C324" s="33"/>
      <c r="D324" s="43"/>
      <c r="E324" s="139"/>
      <c r="F324" s="112"/>
      <c r="G324" s="112"/>
      <c r="H324" s="112"/>
      <c r="I324" s="112"/>
      <c r="J324" s="135"/>
      <c r="K324" s="136"/>
      <c r="L324" s="134"/>
    </row>
    <row r="325" spans="3:12">
      <c r="C325" s="33"/>
      <c r="D325" s="43"/>
      <c r="E325" s="139"/>
      <c r="F325" s="112"/>
      <c r="G325" s="112"/>
      <c r="H325" s="112"/>
      <c r="I325" s="112"/>
      <c r="J325" s="135"/>
      <c r="K325" s="136"/>
      <c r="L325" s="134"/>
    </row>
    <row r="326" spans="3:12">
      <c r="C326" s="33"/>
      <c r="D326" s="43"/>
      <c r="E326" s="139"/>
      <c r="F326" s="112"/>
      <c r="G326" s="112"/>
      <c r="H326" s="112"/>
      <c r="I326" s="112"/>
      <c r="J326" s="135"/>
      <c r="K326" s="136"/>
      <c r="L326" s="134"/>
    </row>
    <row r="327" spans="3:12">
      <c r="C327" s="33"/>
      <c r="D327" s="43"/>
      <c r="E327" s="139"/>
      <c r="F327" s="112"/>
      <c r="G327" s="112"/>
      <c r="H327" s="112"/>
      <c r="I327" s="112"/>
      <c r="J327" s="135"/>
      <c r="K327" s="136"/>
      <c r="L327" s="134"/>
    </row>
    <row r="328" spans="3:12">
      <c r="C328" s="33"/>
      <c r="D328" s="43"/>
      <c r="E328" s="139"/>
      <c r="F328" s="112"/>
      <c r="G328" s="112"/>
      <c r="H328" s="112"/>
      <c r="I328" s="112"/>
      <c r="J328" s="135"/>
      <c r="K328" s="136"/>
      <c r="L328" s="134"/>
    </row>
    <row r="329" spans="3:12">
      <c r="C329" s="33"/>
      <c r="D329" s="43"/>
      <c r="E329" s="139"/>
      <c r="F329" s="112"/>
      <c r="G329" s="112"/>
      <c r="H329" s="112"/>
      <c r="I329" s="112"/>
      <c r="J329" s="135"/>
      <c r="K329" s="136"/>
      <c r="L329" s="134"/>
    </row>
    <row r="330" spans="3:12">
      <c r="C330" s="33"/>
      <c r="D330" s="43"/>
      <c r="E330" s="139"/>
      <c r="F330" s="112"/>
      <c r="G330" s="112"/>
      <c r="H330" s="112"/>
      <c r="I330" s="112"/>
      <c r="J330" s="135"/>
      <c r="K330" s="136"/>
      <c r="L330" s="134"/>
    </row>
    <row r="331" spans="3:12">
      <c r="C331" s="33"/>
      <c r="D331" s="43"/>
      <c r="E331" s="139"/>
      <c r="F331" s="112"/>
      <c r="G331" s="112"/>
      <c r="H331" s="112"/>
      <c r="I331" s="112"/>
      <c r="J331" s="135"/>
      <c r="K331" s="136"/>
      <c r="L331" s="134"/>
    </row>
    <row r="332" spans="3:12">
      <c r="C332" s="33"/>
      <c r="D332" s="43"/>
      <c r="E332" s="139"/>
      <c r="F332" s="112"/>
      <c r="G332" s="112"/>
      <c r="H332" s="112"/>
      <c r="I332" s="112"/>
      <c r="J332" s="135"/>
      <c r="K332" s="136"/>
      <c r="L332" s="134"/>
    </row>
    <row r="333" spans="3:12">
      <c r="C333" s="33"/>
      <c r="D333" s="43"/>
      <c r="E333" s="139"/>
      <c r="F333" s="112"/>
      <c r="G333" s="112"/>
      <c r="H333" s="112"/>
      <c r="I333" s="112"/>
      <c r="J333" s="135"/>
      <c r="K333" s="136"/>
      <c r="L333" s="134"/>
    </row>
    <row r="334" spans="3:12">
      <c r="C334" s="33"/>
      <c r="D334" s="43"/>
      <c r="E334" s="139"/>
      <c r="F334" s="112"/>
      <c r="G334" s="112"/>
      <c r="H334" s="112"/>
      <c r="I334" s="112"/>
      <c r="J334" s="135"/>
      <c r="K334" s="136"/>
      <c r="L334" s="134"/>
    </row>
    <row r="335" spans="3:12">
      <c r="C335" s="33"/>
      <c r="D335" s="43"/>
      <c r="E335" s="139"/>
      <c r="F335" s="112"/>
      <c r="G335" s="112"/>
      <c r="H335" s="112"/>
      <c r="I335" s="112"/>
      <c r="J335" s="135"/>
      <c r="K335" s="136"/>
      <c r="L335" s="134"/>
    </row>
    <row r="336" spans="3:12">
      <c r="C336" s="33"/>
      <c r="D336" s="43"/>
      <c r="E336" s="139"/>
      <c r="F336" s="112"/>
      <c r="G336" s="112"/>
      <c r="H336" s="112"/>
      <c r="I336" s="112"/>
      <c r="J336" s="135"/>
      <c r="K336" s="136"/>
      <c r="L336" s="134"/>
    </row>
    <row r="337" spans="3:12">
      <c r="C337" s="33"/>
      <c r="D337" s="43"/>
      <c r="E337" s="139"/>
      <c r="F337" s="112"/>
      <c r="G337" s="112"/>
      <c r="H337" s="112"/>
      <c r="I337" s="112"/>
      <c r="J337" s="135"/>
      <c r="K337" s="136"/>
      <c r="L337" s="134"/>
    </row>
    <row r="338" spans="3:12">
      <c r="C338" s="33"/>
      <c r="D338" s="43"/>
      <c r="E338" s="139"/>
      <c r="F338" s="112"/>
      <c r="G338" s="112"/>
      <c r="H338" s="112"/>
      <c r="I338" s="112"/>
      <c r="J338" s="135"/>
      <c r="K338" s="136"/>
      <c r="L338" s="134"/>
    </row>
    <row r="339" spans="3:12">
      <c r="C339" s="33"/>
      <c r="D339" s="43"/>
      <c r="E339" s="139"/>
      <c r="F339" s="112"/>
      <c r="G339" s="112"/>
      <c r="H339" s="112"/>
      <c r="I339" s="112"/>
      <c r="J339" s="135"/>
      <c r="K339" s="136"/>
      <c r="L339" s="134"/>
    </row>
    <row r="340" spans="3:12">
      <c r="C340" s="33"/>
      <c r="D340" s="43"/>
      <c r="E340" s="139"/>
      <c r="F340" s="112"/>
      <c r="G340" s="112"/>
      <c r="H340" s="112"/>
      <c r="I340" s="112"/>
      <c r="J340" s="135"/>
      <c r="K340" s="136"/>
      <c r="L340" s="134"/>
    </row>
    <row r="341" spans="3:12">
      <c r="C341" s="33"/>
      <c r="D341" s="43"/>
      <c r="E341" s="139"/>
      <c r="F341" s="112"/>
      <c r="G341" s="112"/>
      <c r="H341" s="112"/>
      <c r="I341" s="112"/>
      <c r="J341" s="135"/>
      <c r="K341" s="136"/>
      <c r="L341" s="134"/>
    </row>
    <row r="342" spans="3:12">
      <c r="C342" s="33"/>
      <c r="D342" s="43"/>
      <c r="E342" s="139"/>
      <c r="F342" s="112"/>
      <c r="G342" s="112"/>
      <c r="H342" s="112"/>
      <c r="I342" s="112"/>
      <c r="J342" s="135"/>
      <c r="K342" s="136"/>
      <c r="L342" s="134"/>
    </row>
    <row r="343" spans="3:12">
      <c r="C343" s="33"/>
      <c r="D343" s="43"/>
      <c r="E343" s="139"/>
      <c r="F343" s="112"/>
      <c r="G343" s="112"/>
      <c r="H343" s="112"/>
      <c r="I343" s="112"/>
      <c r="J343" s="135"/>
      <c r="K343" s="136"/>
      <c r="L343" s="134"/>
    </row>
    <row r="344" spans="3:12">
      <c r="C344" s="33"/>
      <c r="D344" s="43"/>
      <c r="E344" s="139"/>
      <c r="F344" s="112"/>
      <c r="G344" s="112"/>
      <c r="H344" s="112"/>
      <c r="I344" s="112"/>
      <c r="J344" s="135"/>
      <c r="K344" s="136"/>
      <c r="L344" s="134"/>
    </row>
    <row r="345" spans="3:12">
      <c r="C345" s="33"/>
      <c r="D345" s="43"/>
      <c r="E345" s="139"/>
      <c r="F345" s="112"/>
      <c r="G345" s="112"/>
      <c r="H345" s="112"/>
      <c r="I345" s="112"/>
      <c r="J345" s="135"/>
      <c r="K345" s="136"/>
      <c r="L345" s="134"/>
    </row>
    <row r="346" spans="3:12">
      <c r="C346" s="33"/>
      <c r="D346" s="43"/>
      <c r="E346" s="139"/>
      <c r="F346" s="112"/>
      <c r="G346" s="112"/>
      <c r="H346" s="112"/>
      <c r="I346" s="112"/>
      <c r="J346" s="135"/>
      <c r="K346" s="136"/>
      <c r="L346" s="134"/>
    </row>
    <row r="347" spans="3:12">
      <c r="C347" s="33"/>
      <c r="D347" s="43"/>
      <c r="E347" s="139"/>
      <c r="F347" s="112"/>
      <c r="G347" s="112"/>
      <c r="H347" s="112"/>
      <c r="I347" s="112"/>
      <c r="J347" s="135"/>
      <c r="K347" s="136"/>
      <c r="L347" s="134"/>
    </row>
    <row r="348" spans="3:12">
      <c r="C348" s="33"/>
      <c r="D348" s="43"/>
      <c r="E348" s="139"/>
      <c r="F348" s="112"/>
      <c r="G348" s="112"/>
      <c r="H348" s="112"/>
      <c r="I348" s="112"/>
      <c r="J348" s="135"/>
      <c r="K348" s="136"/>
      <c r="L348" s="134"/>
    </row>
    <row r="349" spans="3:12">
      <c r="C349" s="33"/>
      <c r="D349" s="43"/>
      <c r="E349" s="139"/>
      <c r="F349" s="112"/>
      <c r="G349" s="112"/>
      <c r="H349" s="112"/>
      <c r="I349" s="112"/>
      <c r="J349" s="135"/>
      <c r="K349" s="136"/>
      <c r="L349" s="134"/>
    </row>
    <row r="350" spans="3:12">
      <c r="C350" s="33"/>
      <c r="D350" s="43"/>
      <c r="E350" s="139"/>
      <c r="F350" s="112"/>
      <c r="G350" s="112"/>
      <c r="H350" s="112"/>
      <c r="I350" s="112"/>
      <c r="J350" s="135"/>
      <c r="K350" s="136"/>
      <c r="L350" s="134"/>
    </row>
    <row r="351" spans="3:12">
      <c r="C351" s="33"/>
      <c r="D351" s="43"/>
      <c r="E351" s="139"/>
      <c r="F351" s="112"/>
      <c r="G351" s="112"/>
      <c r="H351" s="112"/>
      <c r="I351" s="112"/>
      <c r="J351" s="135"/>
      <c r="K351" s="136"/>
      <c r="L351" s="134"/>
    </row>
    <row r="352" spans="3:12">
      <c r="C352" s="33"/>
      <c r="D352" s="43"/>
      <c r="E352" s="139"/>
      <c r="F352" s="112"/>
      <c r="G352" s="112"/>
      <c r="H352" s="112"/>
      <c r="I352" s="112"/>
      <c r="J352" s="135"/>
      <c r="K352" s="136"/>
      <c r="L352" s="134"/>
    </row>
    <row r="353" spans="3:12">
      <c r="C353" s="33"/>
      <c r="D353" s="43"/>
      <c r="E353" s="139"/>
      <c r="F353" s="112"/>
      <c r="G353" s="112"/>
      <c r="H353" s="112"/>
      <c r="I353" s="112"/>
      <c r="J353" s="135"/>
      <c r="K353" s="136"/>
      <c r="L353" s="134"/>
    </row>
    <row r="354" spans="3:12">
      <c r="C354" s="33"/>
      <c r="D354" s="43"/>
      <c r="E354" s="139"/>
      <c r="F354" s="112"/>
      <c r="G354" s="112"/>
      <c r="H354" s="112"/>
      <c r="I354" s="112"/>
      <c r="J354" s="135"/>
      <c r="K354" s="136"/>
      <c r="L354" s="134"/>
    </row>
    <row r="355" spans="3:12">
      <c r="C355" s="33"/>
      <c r="D355" s="43"/>
      <c r="E355" s="139"/>
      <c r="F355" s="112"/>
      <c r="G355" s="112"/>
      <c r="H355" s="112"/>
      <c r="I355" s="112"/>
      <c r="J355" s="135"/>
      <c r="K355" s="136"/>
      <c r="L355" s="134"/>
    </row>
    <row r="356" spans="3:12">
      <c r="C356" s="33"/>
      <c r="D356" s="43"/>
      <c r="E356" s="139"/>
      <c r="F356" s="112"/>
      <c r="G356" s="112"/>
      <c r="H356" s="112"/>
      <c r="I356" s="112"/>
      <c r="J356" s="135"/>
      <c r="K356" s="136"/>
      <c r="L356" s="134"/>
    </row>
    <row r="357" spans="3:12">
      <c r="C357" s="33"/>
      <c r="D357" s="43"/>
      <c r="E357" s="139"/>
      <c r="F357" s="112"/>
      <c r="G357" s="112"/>
      <c r="H357" s="112"/>
      <c r="I357" s="112"/>
      <c r="J357" s="135"/>
      <c r="K357" s="136"/>
      <c r="L357" s="134"/>
    </row>
    <row r="358" spans="3:12">
      <c r="C358" s="33"/>
      <c r="D358" s="43"/>
      <c r="E358" s="139"/>
      <c r="F358" s="112"/>
      <c r="G358" s="112"/>
      <c r="H358" s="112"/>
      <c r="I358" s="112"/>
      <c r="J358" s="135"/>
      <c r="K358" s="136"/>
      <c r="L358" s="134"/>
    </row>
    <row r="359" spans="3:12">
      <c r="C359" s="33"/>
      <c r="D359" s="43"/>
      <c r="E359" s="139"/>
      <c r="F359" s="112"/>
      <c r="G359" s="112"/>
      <c r="H359" s="112"/>
      <c r="I359" s="112"/>
      <c r="J359" s="135"/>
      <c r="K359" s="136"/>
      <c r="L359" s="134"/>
    </row>
    <row r="360" spans="3:12">
      <c r="C360" s="33"/>
      <c r="D360" s="43"/>
      <c r="E360" s="139"/>
      <c r="F360" s="112"/>
      <c r="G360" s="112"/>
      <c r="H360" s="112"/>
      <c r="I360" s="112"/>
      <c r="J360" s="135"/>
      <c r="K360" s="136"/>
      <c r="L360" s="134"/>
    </row>
    <row r="361" spans="3:12">
      <c r="C361" s="33"/>
      <c r="D361" s="43"/>
      <c r="E361" s="139"/>
      <c r="F361" s="112"/>
      <c r="G361" s="112"/>
      <c r="H361" s="112"/>
      <c r="I361" s="112"/>
      <c r="J361" s="135"/>
      <c r="K361" s="136"/>
      <c r="L361" s="134"/>
    </row>
    <row r="362" spans="3:12">
      <c r="C362" s="33"/>
      <c r="D362" s="43"/>
      <c r="E362" s="139"/>
      <c r="F362" s="112"/>
      <c r="G362" s="112"/>
      <c r="H362" s="112"/>
      <c r="I362" s="112"/>
      <c r="J362" s="135"/>
      <c r="K362" s="136"/>
      <c r="L362" s="134"/>
    </row>
    <row r="363" spans="3:12">
      <c r="C363" s="33"/>
      <c r="D363" s="43"/>
      <c r="E363" s="139"/>
      <c r="F363" s="112"/>
      <c r="G363" s="112"/>
      <c r="H363" s="112"/>
      <c r="I363" s="112"/>
      <c r="J363" s="135"/>
      <c r="K363" s="136"/>
      <c r="L363" s="134"/>
    </row>
    <row r="364" spans="3:12">
      <c r="C364" s="33"/>
      <c r="D364" s="43"/>
      <c r="E364" s="139"/>
      <c r="F364" s="112"/>
      <c r="G364" s="112"/>
      <c r="H364" s="112"/>
      <c r="I364" s="112"/>
      <c r="J364" s="135"/>
      <c r="K364" s="136"/>
      <c r="L364" s="134"/>
    </row>
    <row r="365" spans="3:12">
      <c r="C365" s="33"/>
      <c r="D365" s="43"/>
      <c r="E365" s="139"/>
      <c r="F365" s="112"/>
      <c r="G365" s="112"/>
      <c r="H365" s="112"/>
      <c r="I365" s="112"/>
      <c r="J365" s="135"/>
      <c r="K365" s="136"/>
      <c r="L365" s="134"/>
    </row>
    <row r="366" spans="3:12">
      <c r="C366" s="33"/>
      <c r="D366" s="43"/>
      <c r="E366" s="139"/>
      <c r="F366" s="112"/>
      <c r="G366" s="112"/>
      <c r="H366" s="112"/>
      <c r="I366" s="112"/>
      <c r="J366" s="135"/>
      <c r="K366" s="136"/>
      <c r="L366" s="134"/>
    </row>
    <row r="367" spans="3:12">
      <c r="C367" s="33"/>
      <c r="D367" s="43"/>
      <c r="E367" s="139"/>
      <c r="F367" s="112"/>
      <c r="G367" s="112"/>
      <c r="H367" s="112"/>
      <c r="I367" s="112"/>
      <c r="J367" s="135"/>
      <c r="K367" s="136"/>
      <c r="L367" s="134"/>
    </row>
    <row r="368" spans="3:12">
      <c r="C368" s="33"/>
      <c r="D368" s="43"/>
      <c r="E368" s="139"/>
      <c r="F368" s="112"/>
      <c r="G368" s="112"/>
      <c r="H368" s="112"/>
      <c r="I368" s="112"/>
      <c r="J368" s="135"/>
      <c r="K368" s="136"/>
      <c r="L368" s="134"/>
    </row>
    <row r="369" spans="3:12">
      <c r="C369" s="33"/>
      <c r="D369" s="43"/>
      <c r="E369" s="139"/>
      <c r="F369" s="112"/>
      <c r="G369" s="112"/>
      <c r="H369" s="112"/>
      <c r="I369" s="112"/>
      <c r="J369" s="135"/>
      <c r="K369" s="136"/>
      <c r="L369" s="134"/>
    </row>
    <row r="370" spans="3:12">
      <c r="C370" s="33"/>
      <c r="D370" s="43"/>
      <c r="E370" s="139"/>
      <c r="F370" s="112"/>
      <c r="G370" s="112"/>
      <c r="H370" s="112"/>
      <c r="I370" s="112"/>
      <c r="J370" s="135"/>
      <c r="K370" s="136"/>
      <c r="L370" s="134"/>
    </row>
    <row r="371" spans="3:12">
      <c r="C371" s="33"/>
      <c r="D371" s="43"/>
      <c r="E371" s="139"/>
      <c r="F371" s="112"/>
      <c r="G371" s="112"/>
      <c r="H371" s="112"/>
      <c r="I371" s="112"/>
      <c r="J371" s="135"/>
      <c r="K371" s="136"/>
      <c r="L371" s="134"/>
    </row>
    <row r="372" spans="3:12">
      <c r="C372" s="33"/>
      <c r="D372" s="43"/>
      <c r="E372" s="139"/>
      <c r="F372" s="112"/>
      <c r="G372" s="112"/>
      <c r="H372" s="112"/>
      <c r="I372" s="112"/>
      <c r="J372" s="135"/>
      <c r="K372" s="136"/>
      <c r="L372" s="134"/>
    </row>
    <row r="373" spans="3:12">
      <c r="C373" s="33"/>
      <c r="D373" s="43"/>
      <c r="E373" s="139"/>
      <c r="F373" s="112"/>
      <c r="G373" s="112"/>
      <c r="H373" s="112"/>
      <c r="I373" s="112"/>
      <c r="J373" s="135"/>
      <c r="K373" s="136"/>
      <c r="L373" s="134"/>
    </row>
    <row r="374" spans="3:12">
      <c r="C374" s="33"/>
      <c r="D374" s="43"/>
      <c r="E374" s="139"/>
      <c r="F374" s="112"/>
      <c r="G374" s="112"/>
      <c r="H374" s="112"/>
      <c r="I374" s="112"/>
      <c r="J374" s="135"/>
      <c r="K374" s="136"/>
      <c r="L374" s="134"/>
    </row>
    <row r="375" spans="3:12">
      <c r="C375" s="33"/>
      <c r="D375" s="43"/>
      <c r="E375" s="139"/>
      <c r="F375" s="112"/>
      <c r="G375" s="112"/>
      <c r="H375" s="112"/>
      <c r="I375" s="112"/>
      <c r="J375" s="135"/>
      <c r="K375" s="136"/>
      <c r="L375" s="134"/>
    </row>
    <row r="376" spans="3:12">
      <c r="C376" s="33"/>
      <c r="D376" s="43"/>
      <c r="E376" s="139"/>
      <c r="F376" s="112"/>
      <c r="G376" s="112"/>
      <c r="H376" s="112"/>
      <c r="I376" s="112"/>
      <c r="J376" s="135"/>
      <c r="K376" s="136"/>
      <c r="L376" s="134"/>
    </row>
    <row r="377" spans="3:12">
      <c r="C377" s="33"/>
      <c r="D377" s="43"/>
      <c r="E377" s="139"/>
      <c r="F377" s="112"/>
      <c r="G377" s="112"/>
      <c r="H377" s="112"/>
      <c r="I377" s="112"/>
      <c r="J377" s="135"/>
      <c r="K377" s="136"/>
      <c r="L377" s="134"/>
    </row>
    <row r="378" spans="3:12">
      <c r="C378" s="33"/>
      <c r="D378" s="43"/>
      <c r="E378" s="139"/>
      <c r="F378" s="112"/>
      <c r="G378" s="112"/>
      <c r="H378" s="112"/>
      <c r="I378" s="112"/>
      <c r="J378" s="135"/>
      <c r="K378" s="136"/>
      <c r="L378" s="134"/>
    </row>
    <row r="379" spans="3:12">
      <c r="C379" s="33"/>
      <c r="D379" s="43"/>
      <c r="E379" s="139"/>
      <c r="F379" s="112"/>
      <c r="G379" s="112"/>
      <c r="H379" s="112"/>
      <c r="I379" s="112"/>
      <c r="J379" s="135"/>
      <c r="K379" s="136"/>
      <c r="L379" s="134"/>
    </row>
    <row r="380" spans="3:12">
      <c r="C380" s="33"/>
      <c r="D380" s="43"/>
      <c r="E380" s="139"/>
      <c r="F380" s="112"/>
      <c r="G380" s="112"/>
      <c r="H380" s="112"/>
      <c r="I380" s="112"/>
      <c r="J380" s="135"/>
      <c r="K380" s="136"/>
      <c r="L380" s="134"/>
    </row>
    <row r="381" spans="3:12">
      <c r="C381" s="33"/>
      <c r="D381" s="43"/>
      <c r="E381" s="139"/>
      <c r="F381" s="112"/>
      <c r="G381" s="112"/>
      <c r="H381" s="112"/>
      <c r="I381" s="112"/>
      <c r="J381" s="135"/>
      <c r="K381" s="136"/>
      <c r="L381" s="134"/>
    </row>
    <row r="382" spans="3:12">
      <c r="C382" s="33"/>
      <c r="D382" s="43"/>
      <c r="E382" s="139"/>
      <c r="F382" s="112"/>
      <c r="G382" s="112"/>
      <c r="H382" s="112"/>
      <c r="I382" s="112"/>
      <c r="J382" s="135"/>
      <c r="K382" s="136"/>
      <c r="L382" s="134"/>
    </row>
    <row r="383" spans="3:12">
      <c r="C383" s="33"/>
      <c r="D383" s="43"/>
      <c r="E383" s="139"/>
      <c r="F383" s="112"/>
      <c r="G383" s="112"/>
      <c r="H383" s="112"/>
      <c r="I383" s="112"/>
      <c r="J383" s="135"/>
      <c r="K383" s="136"/>
      <c r="L383" s="134"/>
    </row>
    <row r="384" spans="3:12">
      <c r="C384" s="33"/>
      <c r="D384" s="43"/>
      <c r="E384" s="139"/>
      <c r="F384" s="112"/>
      <c r="G384" s="112"/>
      <c r="H384" s="112"/>
      <c r="I384" s="112"/>
      <c r="J384" s="135"/>
      <c r="K384" s="136"/>
      <c r="L384" s="134"/>
    </row>
    <row r="385" spans="3:12">
      <c r="C385" s="33"/>
      <c r="D385" s="43"/>
      <c r="E385" s="139"/>
      <c r="F385" s="112"/>
      <c r="G385" s="112"/>
      <c r="H385" s="112"/>
      <c r="I385" s="112"/>
      <c r="J385" s="135"/>
      <c r="K385" s="136"/>
      <c r="L385" s="134"/>
    </row>
    <row r="386" spans="3:12">
      <c r="C386" s="33"/>
      <c r="D386" s="43"/>
      <c r="E386" s="139"/>
      <c r="F386" s="112"/>
      <c r="G386" s="112"/>
      <c r="H386" s="112"/>
      <c r="I386" s="112"/>
      <c r="J386" s="135"/>
      <c r="K386" s="136"/>
      <c r="L386" s="134"/>
    </row>
    <row r="387" spans="3:12">
      <c r="C387" s="33"/>
      <c r="D387" s="43"/>
      <c r="E387" s="139"/>
      <c r="F387" s="112"/>
      <c r="G387" s="112"/>
      <c r="H387" s="112"/>
      <c r="I387" s="112"/>
      <c r="J387" s="135"/>
      <c r="K387" s="136"/>
      <c r="L387" s="134"/>
    </row>
    <row r="388" spans="3:12">
      <c r="C388" s="33"/>
      <c r="D388" s="43"/>
      <c r="E388" s="139"/>
      <c r="F388" s="112"/>
      <c r="G388" s="112"/>
      <c r="H388" s="112"/>
      <c r="I388" s="112"/>
      <c r="J388" s="135"/>
      <c r="K388" s="136"/>
      <c r="L388" s="134"/>
    </row>
    <row r="389" spans="3:12">
      <c r="C389" s="33"/>
      <c r="D389" s="43"/>
      <c r="E389" s="139"/>
      <c r="F389" s="112"/>
      <c r="G389" s="112"/>
      <c r="H389" s="112"/>
      <c r="I389" s="112"/>
      <c r="J389" s="135"/>
      <c r="K389" s="136"/>
      <c r="L389" s="134"/>
    </row>
    <row r="390" spans="3:12">
      <c r="C390" s="33"/>
      <c r="D390" s="43"/>
      <c r="E390" s="139"/>
      <c r="F390" s="112"/>
      <c r="G390" s="112"/>
      <c r="H390" s="112"/>
      <c r="I390" s="112"/>
      <c r="J390" s="135"/>
      <c r="K390" s="136"/>
      <c r="L390" s="134"/>
    </row>
    <row r="391" spans="3:12">
      <c r="C391" s="33"/>
      <c r="D391" s="43"/>
      <c r="E391" s="139"/>
      <c r="F391" s="112"/>
      <c r="G391" s="112"/>
      <c r="H391" s="112"/>
      <c r="I391" s="112"/>
      <c r="J391" s="135"/>
      <c r="K391" s="136"/>
      <c r="L391" s="134"/>
    </row>
    <row r="392" spans="3:12">
      <c r="C392" s="33"/>
      <c r="D392" s="43"/>
      <c r="E392" s="139"/>
      <c r="F392" s="112"/>
      <c r="G392" s="112"/>
      <c r="H392" s="112"/>
      <c r="I392" s="112"/>
      <c r="J392" s="135"/>
      <c r="K392" s="136"/>
      <c r="L392" s="134"/>
    </row>
    <row r="393" spans="3:12">
      <c r="C393" s="33"/>
      <c r="D393" s="43"/>
      <c r="E393" s="139"/>
      <c r="F393" s="112"/>
      <c r="G393" s="112"/>
      <c r="H393" s="112"/>
      <c r="I393" s="112"/>
      <c r="J393" s="135"/>
      <c r="K393" s="136"/>
      <c r="L393" s="134"/>
    </row>
    <row r="394" spans="3:12">
      <c r="C394" s="33"/>
      <c r="D394" s="43"/>
      <c r="E394" s="139"/>
      <c r="F394" s="112"/>
      <c r="G394" s="112"/>
      <c r="H394" s="112"/>
      <c r="I394" s="112"/>
      <c r="J394" s="135"/>
      <c r="K394" s="136"/>
      <c r="L394" s="134"/>
    </row>
    <row r="395" spans="3:12">
      <c r="C395" s="33"/>
      <c r="D395" s="43"/>
      <c r="E395" s="139"/>
      <c r="F395" s="112"/>
      <c r="G395" s="112"/>
      <c r="H395" s="112"/>
      <c r="I395" s="112"/>
      <c r="J395" s="135"/>
      <c r="K395" s="136"/>
      <c r="L395" s="134"/>
    </row>
    <row r="396" spans="3:12">
      <c r="C396" s="33"/>
      <c r="D396" s="43"/>
      <c r="E396" s="139"/>
      <c r="F396" s="112"/>
      <c r="G396" s="112"/>
      <c r="H396" s="112"/>
      <c r="I396" s="112"/>
      <c r="J396" s="135"/>
      <c r="K396" s="136"/>
      <c r="L396" s="134"/>
    </row>
    <row r="397" spans="3:12">
      <c r="C397" s="33"/>
      <c r="D397" s="43"/>
      <c r="E397" s="139"/>
      <c r="F397" s="112"/>
      <c r="G397" s="112"/>
      <c r="H397" s="112"/>
      <c r="I397" s="112"/>
      <c r="J397" s="135"/>
      <c r="K397" s="136"/>
      <c r="L397" s="134"/>
    </row>
    <row r="398" spans="3:12">
      <c r="C398" s="33"/>
      <c r="D398" s="43"/>
      <c r="E398" s="139"/>
      <c r="F398" s="112"/>
      <c r="G398" s="112"/>
      <c r="H398" s="112"/>
      <c r="I398" s="112"/>
      <c r="J398" s="135"/>
      <c r="K398" s="136"/>
      <c r="L398" s="134"/>
    </row>
    <row r="399" spans="3:12">
      <c r="C399" s="33"/>
      <c r="D399" s="43"/>
      <c r="E399" s="139"/>
      <c r="F399" s="112"/>
      <c r="G399" s="112"/>
      <c r="H399" s="112"/>
      <c r="I399" s="112"/>
      <c r="J399" s="135"/>
      <c r="K399" s="136"/>
      <c r="L399" s="134"/>
    </row>
    <row r="400" spans="3:12">
      <c r="C400" s="33"/>
      <c r="D400" s="43"/>
      <c r="E400" s="139"/>
      <c r="F400" s="112"/>
      <c r="G400" s="112"/>
      <c r="H400" s="112"/>
      <c r="I400" s="112"/>
      <c r="J400" s="135"/>
      <c r="K400" s="136"/>
      <c r="L400" s="134"/>
    </row>
    <row r="401" spans="3:12">
      <c r="C401" s="33"/>
      <c r="D401" s="43"/>
      <c r="E401" s="139"/>
      <c r="F401" s="112"/>
      <c r="G401" s="112"/>
      <c r="H401" s="112"/>
      <c r="I401" s="112"/>
      <c r="J401" s="135"/>
      <c r="K401" s="136"/>
      <c r="L401" s="134"/>
    </row>
    <row r="402" spans="3:12">
      <c r="C402" s="33"/>
      <c r="D402" s="43"/>
      <c r="E402" s="139"/>
      <c r="F402" s="112"/>
      <c r="G402" s="112"/>
      <c r="H402" s="112"/>
      <c r="I402" s="112"/>
      <c r="J402" s="135"/>
      <c r="K402" s="136"/>
      <c r="L402" s="134"/>
    </row>
    <row r="403" spans="3:12">
      <c r="C403" s="33"/>
      <c r="D403" s="43"/>
      <c r="E403" s="139"/>
      <c r="F403" s="112"/>
      <c r="G403" s="112"/>
      <c r="H403" s="112"/>
      <c r="I403" s="112"/>
      <c r="J403" s="135"/>
      <c r="K403" s="136"/>
      <c r="L403" s="134"/>
    </row>
    <row r="404" spans="3:12">
      <c r="C404" s="33"/>
      <c r="D404" s="43"/>
      <c r="E404" s="139"/>
      <c r="F404" s="112"/>
      <c r="G404" s="112"/>
      <c r="H404" s="112"/>
      <c r="I404" s="112"/>
      <c r="J404" s="135"/>
      <c r="K404" s="136"/>
      <c r="L404" s="134"/>
    </row>
    <row r="405" spans="3:12">
      <c r="C405" s="33"/>
      <c r="D405" s="43"/>
      <c r="E405" s="139"/>
      <c r="F405" s="112"/>
      <c r="G405" s="112"/>
      <c r="H405" s="112"/>
      <c r="I405" s="112"/>
      <c r="J405" s="135"/>
      <c r="K405" s="136"/>
      <c r="L405" s="134"/>
    </row>
    <row r="406" spans="3:12">
      <c r="C406" s="33"/>
      <c r="D406" s="43"/>
      <c r="E406" s="139"/>
      <c r="F406" s="112"/>
      <c r="G406" s="112"/>
      <c r="H406" s="112"/>
      <c r="I406" s="112"/>
      <c r="J406" s="135"/>
      <c r="K406" s="136"/>
      <c r="L406" s="134"/>
    </row>
    <row r="407" spans="3:12">
      <c r="C407" s="33"/>
      <c r="D407" s="43"/>
      <c r="E407" s="139"/>
      <c r="F407" s="112"/>
      <c r="G407" s="112"/>
      <c r="H407" s="112"/>
      <c r="I407" s="112"/>
      <c r="J407" s="135"/>
      <c r="K407" s="136"/>
      <c r="L407" s="134"/>
    </row>
    <row r="408" spans="3:12">
      <c r="C408" s="33"/>
      <c r="D408" s="43"/>
      <c r="E408" s="139"/>
      <c r="F408" s="112"/>
      <c r="G408" s="112"/>
      <c r="H408" s="112"/>
      <c r="I408" s="112"/>
      <c r="J408" s="135"/>
      <c r="K408" s="136"/>
      <c r="L408" s="134"/>
    </row>
    <row r="409" spans="3:12">
      <c r="C409" s="33"/>
      <c r="D409" s="43"/>
      <c r="E409" s="139"/>
      <c r="F409" s="112"/>
      <c r="G409" s="112"/>
      <c r="H409" s="112"/>
      <c r="I409" s="112"/>
      <c r="J409" s="135"/>
      <c r="K409" s="136"/>
      <c r="L409" s="134"/>
    </row>
    <row r="410" spans="3:12">
      <c r="C410" s="33"/>
      <c r="D410" s="43"/>
      <c r="E410" s="139"/>
      <c r="F410" s="112"/>
      <c r="G410" s="112"/>
      <c r="H410" s="112"/>
      <c r="I410" s="112"/>
      <c r="J410" s="135"/>
      <c r="K410" s="136"/>
      <c r="L410" s="134"/>
    </row>
    <row r="411" spans="3:12">
      <c r="C411" s="33"/>
      <c r="D411" s="43"/>
      <c r="E411" s="139"/>
      <c r="F411" s="112"/>
      <c r="G411" s="112"/>
      <c r="H411" s="112"/>
      <c r="I411" s="112"/>
      <c r="J411" s="135"/>
      <c r="K411" s="136"/>
      <c r="L411" s="134"/>
    </row>
    <row r="412" spans="3:12">
      <c r="C412" s="33"/>
      <c r="D412" s="43"/>
      <c r="E412" s="139"/>
      <c r="F412" s="112"/>
      <c r="G412" s="112"/>
      <c r="H412" s="112"/>
      <c r="I412" s="112"/>
      <c r="J412" s="135"/>
      <c r="K412" s="136"/>
      <c r="L412" s="134"/>
    </row>
    <row r="413" spans="3:12">
      <c r="C413" s="33"/>
      <c r="D413" s="43"/>
      <c r="E413" s="139"/>
      <c r="F413" s="112"/>
      <c r="G413" s="112"/>
      <c r="H413" s="112"/>
      <c r="I413" s="112"/>
      <c r="J413" s="135"/>
      <c r="K413" s="136"/>
      <c r="L413" s="134"/>
    </row>
    <row r="414" spans="3:12">
      <c r="C414" s="33"/>
      <c r="D414" s="43"/>
      <c r="E414" s="139"/>
      <c r="F414" s="112"/>
      <c r="G414" s="112"/>
      <c r="H414" s="112"/>
      <c r="I414" s="112"/>
      <c r="J414" s="135"/>
      <c r="K414" s="136"/>
      <c r="L414" s="134"/>
    </row>
    <row r="415" spans="3:12">
      <c r="C415" s="33"/>
      <c r="D415" s="43"/>
      <c r="E415" s="139"/>
      <c r="F415" s="112"/>
      <c r="G415" s="112"/>
      <c r="H415" s="112"/>
      <c r="I415" s="112"/>
      <c r="J415" s="135"/>
      <c r="K415" s="136"/>
      <c r="L415" s="134"/>
    </row>
    <row r="416" spans="3:12">
      <c r="C416" s="33"/>
      <c r="D416" s="43"/>
      <c r="E416" s="139"/>
      <c r="F416" s="112"/>
      <c r="G416" s="112"/>
      <c r="H416" s="112"/>
      <c r="I416" s="112"/>
      <c r="J416" s="135"/>
      <c r="K416" s="136"/>
      <c r="L416" s="134"/>
    </row>
    <row r="417" spans="3:12">
      <c r="C417" s="33"/>
      <c r="D417" s="43"/>
      <c r="E417" s="139"/>
      <c r="F417" s="112"/>
      <c r="G417" s="112"/>
      <c r="H417" s="112"/>
      <c r="I417" s="112"/>
      <c r="J417" s="135"/>
      <c r="K417" s="136"/>
      <c r="L417" s="134"/>
    </row>
    <row r="418" spans="3:12">
      <c r="C418" s="33"/>
      <c r="D418" s="43"/>
      <c r="E418" s="139"/>
      <c r="F418" s="112"/>
      <c r="G418" s="112"/>
      <c r="H418" s="112"/>
      <c r="I418" s="112"/>
      <c r="J418" s="135"/>
      <c r="K418" s="136"/>
      <c r="L418" s="134"/>
    </row>
    <row r="419" spans="3:12">
      <c r="C419" s="33"/>
      <c r="D419" s="43"/>
      <c r="E419" s="139"/>
      <c r="F419" s="112"/>
      <c r="G419" s="112"/>
      <c r="H419" s="112"/>
      <c r="I419" s="112"/>
      <c r="J419" s="135"/>
      <c r="K419" s="136"/>
      <c r="L419" s="134"/>
    </row>
    <row r="420" spans="3:12">
      <c r="C420" s="33"/>
      <c r="D420" s="43"/>
      <c r="E420" s="139"/>
      <c r="F420" s="112"/>
      <c r="G420" s="112"/>
      <c r="H420" s="112"/>
      <c r="I420" s="112"/>
      <c r="J420" s="135"/>
      <c r="K420" s="136"/>
      <c r="L420" s="134"/>
    </row>
    <row r="421" spans="3:12">
      <c r="C421" s="33"/>
      <c r="D421" s="43"/>
      <c r="E421" s="139"/>
      <c r="F421" s="112"/>
      <c r="G421" s="112"/>
      <c r="H421" s="112"/>
      <c r="I421" s="112"/>
      <c r="J421" s="135"/>
      <c r="K421" s="136"/>
      <c r="L421" s="134"/>
    </row>
    <row r="422" spans="3:12">
      <c r="C422" s="33"/>
      <c r="D422" s="43"/>
      <c r="E422" s="139"/>
      <c r="F422" s="112"/>
      <c r="G422" s="112"/>
      <c r="H422" s="112"/>
      <c r="I422" s="112"/>
      <c r="J422" s="135"/>
      <c r="K422" s="136"/>
      <c r="L422" s="134"/>
    </row>
    <row r="423" spans="3:12">
      <c r="C423" s="33"/>
      <c r="D423" s="43"/>
      <c r="E423" s="139"/>
      <c r="F423" s="112"/>
      <c r="G423" s="112"/>
      <c r="H423" s="112"/>
      <c r="I423" s="112"/>
      <c r="J423" s="135"/>
      <c r="K423" s="136"/>
      <c r="L423" s="134"/>
    </row>
    <row r="424" spans="3:12">
      <c r="C424" s="33"/>
      <c r="D424" s="43"/>
      <c r="E424" s="139"/>
      <c r="F424" s="112"/>
      <c r="G424" s="112"/>
      <c r="H424" s="112"/>
      <c r="I424" s="112"/>
      <c r="J424" s="135"/>
      <c r="K424" s="136"/>
      <c r="L424" s="134"/>
    </row>
    <row r="425" spans="3:12">
      <c r="C425" s="33"/>
      <c r="D425" s="43"/>
      <c r="E425" s="139"/>
      <c r="F425" s="112"/>
      <c r="G425" s="112"/>
      <c r="H425" s="112"/>
      <c r="I425" s="112"/>
      <c r="J425" s="135"/>
      <c r="K425" s="136"/>
      <c r="L425" s="134"/>
    </row>
    <row r="426" spans="3:12">
      <c r="C426" s="33"/>
      <c r="D426" s="43"/>
      <c r="E426" s="139"/>
      <c r="F426" s="112"/>
      <c r="G426" s="112"/>
      <c r="H426" s="112"/>
      <c r="I426" s="112"/>
      <c r="J426" s="135"/>
      <c r="K426" s="136"/>
      <c r="L426" s="134"/>
    </row>
    <row r="427" spans="3:12">
      <c r="C427" s="33"/>
      <c r="D427" s="43"/>
      <c r="E427" s="139"/>
      <c r="F427" s="112"/>
      <c r="G427" s="112"/>
      <c r="H427" s="112"/>
      <c r="I427" s="112"/>
      <c r="J427" s="135"/>
      <c r="K427" s="136"/>
      <c r="L427" s="134"/>
    </row>
    <row r="428" spans="3:12">
      <c r="C428" s="33"/>
      <c r="D428" s="43"/>
      <c r="E428" s="139"/>
      <c r="F428" s="112"/>
      <c r="G428" s="112"/>
      <c r="H428" s="112"/>
      <c r="I428" s="112"/>
      <c r="J428" s="135"/>
      <c r="K428" s="136"/>
      <c r="L428" s="134"/>
    </row>
    <row r="429" spans="3:12">
      <c r="C429" s="33"/>
      <c r="D429" s="43"/>
      <c r="E429" s="139"/>
      <c r="F429" s="112"/>
      <c r="G429" s="112"/>
      <c r="H429" s="112"/>
      <c r="I429" s="112"/>
      <c r="J429" s="135"/>
      <c r="K429" s="136"/>
      <c r="L429" s="134"/>
    </row>
    <row r="430" spans="3:12">
      <c r="C430" s="33"/>
      <c r="D430" s="43"/>
      <c r="E430" s="139"/>
      <c r="F430" s="112"/>
      <c r="G430" s="112"/>
      <c r="H430" s="112"/>
      <c r="I430" s="112"/>
      <c r="J430" s="135"/>
      <c r="K430" s="136"/>
      <c r="L430" s="134"/>
    </row>
    <row r="431" spans="3:12">
      <c r="C431" s="33"/>
      <c r="D431" s="43"/>
      <c r="E431" s="139"/>
      <c r="F431" s="112"/>
      <c r="G431" s="112"/>
      <c r="H431" s="112"/>
      <c r="I431" s="112"/>
      <c r="J431" s="135"/>
      <c r="K431" s="136"/>
      <c r="L431" s="134"/>
    </row>
    <row r="432" spans="3:12">
      <c r="C432" s="33"/>
      <c r="D432" s="43"/>
      <c r="E432" s="139"/>
      <c r="F432" s="112"/>
      <c r="G432" s="112"/>
      <c r="H432" s="112"/>
      <c r="I432" s="112"/>
      <c r="J432" s="135"/>
      <c r="K432" s="136"/>
      <c r="L432" s="134"/>
    </row>
    <row r="433" spans="3:12">
      <c r="C433" s="33"/>
      <c r="D433" s="43"/>
      <c r="E433" s="139"/>
      <c r="F433" s="112"/>
      <c r="G433" s="112"/>
      <c r="H433" s="112"/>
      <c r="I433" s="112"/>
      <c r="J433" s="135"/>
      <c r="K433" s="136"/>
      <c r="L433" s="134"/>
    </row>
    <row r="434" spans="3:12">
      <c r="C434" s="33"/>
      <c r="D434" s="43"/>
      <c r="E434" s="139"/>
      <c r="F434" s="112"/>
      <c r="G434" s="112"/>
      <c r="H434" s="112"/>
      <c r="I434" s="112"/>
      <c r="J434" s="135"/>
      <c r="K434" s="136"/>
      <c r="L434" s="134"/>
    </row>
    <row r="435" spans="3:12">
      <c r="C435" s="33"/>
      <c r="D435" s="43"/>
      <c r="E435" s="139"/>
      <c r="F435" s="112"/>
      <c r="G435" s="112"/>
      <c r="H435" s="112"/>
      <c r="I435" s="112"/>
      <c r="J435" s="135"/>
      <c r="K435" s="136"/>
      <c r="L435" s="134"/>
    </row>
    <row r="436" spans="3:12">
      <c r="C436" s="33"/>
      <c r="D436" s="43"/>
      <c r="E436" s="139"/>
      <c r="F436" s="112"/>
      <c r="G436" s="112"/>
      <c r="H436" s="112"/>
      <c r="I436" s="112"/>
      <c r="J436" s="135"/>
      <c r="K436" s="136"/>
      <c r="L436" s="134"/>
    </row>
    <row r="437" spans="3:12">
      <c r="C437" s="33"/>
      <c r="D437" s="43"/>
      <c r="E437" s="139"/>
      <c r="F437" s="112"/>
      <c r="G437" s="112"/>
      <c r="H437" s="112"/>
      <c r="I437" s="112"/>
      <c r="J437" s="135"/>
      <c r="K437" s="136"/>
      <c r="L437" s="134"/>
    </row>
    <row r="438" spans="3:12">
      <c r="C438" s="33"/>
      <c r="D438" s="43"/>
      <c r="E438" s="139"/>
      <c r="F438" s="112"/>
      <c r="G438" s="112"/>
      <c r="H438" s="112"/>
      <c r="I438" s="112"/>
      <c r="J438" s="135"/>
      <c r="K438" s="136"/>
      <c r="L438" s="134"/>
    </row>
    <row r="439" spans="3:12">
      <c r="C439" s="33"/>
      <c r="D439" s="43"/>
      <c r="E439" s="139"/>
      <c r="F439" s="112"/>
      <c r="G439" s="112"/>
      <c r="H439" s="112"/>
      <c r="I439" s="112"/>
      <c r="J439" s="135"/>
      <c r="K439" s="136"/>
      <c r="L439" s="134"/>
    </row>
    <row r="440" spans="3:12">
      <c r="C440" s="33"/>
      <c r="D440" s="43"/>
      <c r="E440" s="139"/>
      <c r="F440" s="112"/>
      <c r="G440" s="112"/>
      <c r="H440" s="112"/>
      <c r="I440" s="112"/>
      <c r="J440" s="135"/>
      <c r="K440" s="136"/>
      <c r="L440" s="134"/>
    </row>
    <row r="441" spans="3:12">
      <c r="C441" s="33"/>
      <c r="D441" s="43"/>
      <c r="E441" s="139"/>
      <c r="F441" s="112"/>
      <c r="G441" s="112"/>
      <c r="H441" s="112"/>
      <c r="I441" s="112"/>
      <c r="J441" s="135"/>
      <c r="K441" s="136"/>
      <c r="L441" s="134"/>
    </row>
    <row r="442" spans="3:12">
      <c r="C442" s="33"/>
      <c r="D442" s="43"/>
      <c r="E442" s="139"/>
      <c r="F442" s="112"/>
      <c r="G442" s="112"/>
      <c r="H442" s="112"/>
      <c r="I442" s="112"/>
      <c r="J442" s="135"/>
      <c r="K442" s="136"/>
      <c r="L442" s="134"/>
    </row>
    <row r="443" spans="3:12">
      <c r="C443" s="33"/>
      <c r="D443" s="43"/>
      <c r="E443" s="139"/>
      <c r="F443" s="112"/>
      <c r="G443" s="112"/>
      <c r="H443" s="112"/>
      <c r="I443" s="112"/>
      <c r="J443" s="135"/>
      <c r="K443" s="136"/>
      <c r="L443" s="134"/>
    </row>
    <row r="444" spans="3:12">
      <c r="C444" s="33"/>
      <c r="D444" s="43"/>
      <c r="E444" s="139"/>
      <c r="F444" s="112"/>
      <c r="G444" s="112"/>
      <c r="H444" s="112"/>
      <c r="I444" s="112"/>
      <c r="J444" s="135"/>
      <c r="K444" s="136"/>
      <c r="L444" s="134"/>
    </row>
    <row r="445" spans="3:12">
      <c r="C445" s="33"/>
      <c r="D445" s="43"/>
      <c r="E445" s="139"/>
      <c r="F445" s="112"/>
      <c r="G445" s="112"/>
      <c r="H445" s="112"/>
      <c r="I445" s="112"/>
      <c r="J445" s="135"/>
      <c r="K445" s="136"/>
      <c r="L445" s="134"/>
    </row>
    <row r="446" spans="3:12">
      <c r="C446" s="33"/>
      <c r="D446" s="43"/>
      <c r="E446" s="139"/>
      <c r="F446" s="112"/>
      <c r="G446" s="112"/>
      <c r="H446" s="112"/>
      <c r="I446" s="112"/>
      <c r="J446" s="135"/>
      <c r="K446" s="136"/>
      <c r="L446" s="134"/>
    </row>
    <row r="447" spans="3:12">
      <c r="C447" s="33"/>
      <c r="D447" s="43"/>
      <c r="E447" s="139"/>
      <c r="F447" s="112"/>
      <c r="G447" s="112"/>
      <c r="H447" s="112"/>
      <c r="I447" s="112"/>
      <c r="J447" s="135"/>
      <c r="K447" s="136"/>
      <c r="L447" s="134"/>
    </row>
    <row r="448" spans="3:12">
      <c r="C448" s="33"/>
      <c r="D448" s="43"/>
      <c r="E448" s="139"/>
      <c r="F448" s="112"/>
      <c r="G448" s="112"/>
      <c r="H448" s="112"/>
      <c r="I448" s="112"/>
      <c r="J448" s="135"/>
      <c r="K448" s="136"/>
      <c r="L448" s="134"/>
    </row>
    <row r="449" spans="3:12">
      <c r="C449" s="33"/>
      <c r="D449" s="43"/>
      <c r="E449" s="139"/>
      <c r="F449" s="112"/>
      <c r="G449" s="112"/>
      <c r="H449" s="112"/>
      <c r="I449" s="112"/>
      <c r="J449" s="135"/>
      <c r="K449" s="136"/>
      <c r="L449" s="134"/>
    </row>
    <row r="450" spans="3:12">
      <c r="C450" s="33"/>
      <c r="D450" s="43"/>
      <c r="E450" s="139"/>
      <c r="F450" s="112"/>
      <c r="G450" s="112"/>
      <c r="H450" s="112"/>
      <c r="I450" s="112"/>
      <c r="J450" s="135"/>
      <c r="K450" s="136"/>
      <c r="L450" s="134"/>
    </row>
    <row r="451" spans="3:12">
      <c r="C451" s="33"/>
      <c r="D451" s="43"/>
      <c r="E451" s="139"/>
      <c r="F451" s="112"/>
      <c r="G451" s="112"/>
      <c r="H451" s="112"/>
      <c r="I451" s="112"/>
      <c r="J451" s="135"/>
      <c r="K451" s="136"/>
      <c r="L451" s="134"/>
    </row>
    <row r="452" spans="3:12">
      <c r="C452" s="33"/>
      <c r="D452" s="43"/>
      <c r="E452" s="139"/>
      <c r="F452" s="112"/>
      <c r="G452" s="112"/>
      <c r="H452" s="112"/>
      <c r="I452" s="112"/>
      <c r="J452" s="135"/>
      <c r="K452" s="136"/>
      <c r="L452" s="134"/>
    </row>
    <row r="453" spans="3:12">
      <c r="C453" s="33"/>
      <c r="D453" s="43"/>
      <c r="E453" s="139"/>
      <c r="F453" s="112"/>
      <c r="G453" s="112"/>
      <c r="H453" s="112"/>
      <c r="I453" s="112"/>
      <c r="J453" s="135"/>
      <c r="K453" s="136"/>
      <c r="L453" s="134"/>
    </row>
    <row r="454" spans="3:12">
      <c r="C454" s="33"/>
      <c r="D454" s="43"/>
      <c r="E454" s="139"/>
      <c r="F454" s="112"/>
      <c r="G454" s="112"/>
      <c r="H454" s="112"/>
      <c r="I454" s="112"/>
      <c r="J454" s="135"/>
      <c r="K454" s="136"/>
      <c r="L454" s="134"/>
    </row>
    <row r="455" spans="3:12">
      <c r="C455" s="33"/>
      <c r="D455" s="43"/>
      <c r="E455" s="139"/>
      <c r="F455" s="112"/>
      <c r="G455" s="112"/>
      <c r="H455" s="112"/>
      <c r="I455" s="112"/>
      <c r="J455" s="135"/>
      <c r="K455" s="136"/>
      <c r="L455" s="134"/>
    </row>
    <row r="456" spans="3:12">
      <c r="C456" s="33"/>
      <c r="D456" s="43"/>
      <c r="E456" s="139"/>
      <c r="F456" s="112"/>
      <c r="G456" s="112"/>
      <c r="H456" s="112"/>
      <c r="I456" s="112"/>
      <c r="J456" s="135"/>
      <c r="K456" s="136"/>
      <c r="L456" s="134"/>
    </row>
    <row r="457" spans="3:12">
      <c r="C457" s="33"/>
      <c r="D457" s="43"/>
      <c r="E457" s="139"/>
      <c r="F457" s="112"/>
      <c r="G457" s="112"/>
      <c r="H457" s="112"/>
      <c r="I457" s="112"/>
      <c r="J457" s="135"/>
      <c r="K457" s="136"/>
      <c r="L457" s="134"/>
    </row>
    <row r="458" spans="3:12">
      <c r="C458" s="33"/>
      <c r="D458" s="43"/>
      <c r="E458" s="139"/>
      <c r="F458" s="112"/>
      <c r="G458" s="112"/>
      <c r="H458" s="112"/>
      <c r="I458" s="112"/>
      <c r="J458" s="135"/>
      <c r="K458" s="136"/>
      <c r="L458" s="134"/>
    </row>
    <row r="459" spans="3:12">
      <c r="C459" s="33"/>
      <c r="D459" s="43"/>
      <c r="E459" s="139"/>
      <c r="F459" s="112"/>
      <c r="G459" s="112"/>
      <c r="H459" s="112"/>
      <c r="I459" s="112"/>
      <c r="J459" s="135"/>
      <c r="K459" s="136"/>
      <c r="L459" s="134"/>
    </row>
    <row r="460" spans="3:12">
      <c r="C460" s="33"/>
      <c r="D460" s="43"/>
      <c r="E460" s="139"/>
      <c r="F460" s="112"/>
      <c r="G460" s="112"/>
      <c r="H460" s="112"/>
      <c r="I460" s="112"/>
      <c r="J460" s="135"/>
      <c r="K460" s="136"/>
      <c r="L460" s="134"/>
    </row>
    <row r="461" spans="3:12">
      <c r="C461" s="33"/>
      <c r="D461" s="43"/>
      <c r="E461" s="139"/>
      <c r="F461" s="112"/>
      <c r="G461" s="112"/>
      <c r="H461" s="112"/>
      <c r="I461" s="112"/>
      <c r="J461" s="135"/>
      <c r="K461" s="136"/>
      <c r="L461" s="134"/>
    </row>
    <row r="462" spans="3:12">
      <c r="C462" s="33"/>
      <c r="D462" s="43"/>
      <c r="E462" s="139"/>
      <c r="F462" s="112"/>
      <c r="G462" s="112"/>
      <c r="H462" s="112"/>
      <c r="I462" s="112"/>
      <c r="J462" s="135"/>
      <c r="K462" s="136"/>
      <c r="L462" s="134"/>
    </row>
    <row r="463" spans="3:12">
      <c r="C463" s="33"/>
      <c r="D463" s="43"/>
      <c r="E463" s="139"/>
      <c r="F463" s="112"/>
      <c r="G463" s="112"/>
      <c r="H463" s="112"/>
      <c r="I463" s="112"/>
      <c r="J463" s="135"/>
      <c r="K463" s="136"/>
      <c r="L463" s="134"/>
    </row>
    <row r="464" spans="3:12">
      <c r="C464" s="33"/>
      <c r="D464" s="43"/>
      <c r="E464" s="139"/>
      <c r="F464" s="112"/>
      <c r="G464" s="112"/>
      <c r="H464" s="112"/>
      <c r="I464" s="112"/>
      <c r="J464" s="135"/>
      <c r="K464" s="136"/>
      <c r="L464" s="134"/>
    </row>
    <row r="465" spans="3:12">
      <c r="C465" s="33"/>
      <c r="D465" s="43"/>
      <c r="E465" s="139"/>
      <c r="F465" s="112"/>
      <c r="G465" s="112"/>
      <c r="H465" s="112"/>
      <c r="I465" s="112"/>
      <c r="J465" s="135"/>
      <c r="K465" s="136"/>
      <c r="L465" s="134"/>
    </row>
    <row r="466" spans="3:12">
      <c r="C466" s="33"/>
      <c r="D466" s="43"/>
      <c r="E466" s="139"/>
      <c r="F466" s="112"/>
      <c r="G466" s="112"/>
      <c r="H466" s="112"/>
      <c r="I466" s="112"/>
      <c r="J466" s="135"/>
      <c r="K466" s="136"/>
      <c r="L466" s="134"/>
    </row>
    <row r="467" spans="3:12">
      <c r="C467" s="33"/>
      <c r="D467" s="43"/>
      <c r="E467" s="139"/>
      <c r="F467" s="112"/>
      <c r="G467" s="112"/>
      <c r="H467" s="112"/>
      <c r="I467" s="112"/>
      <c r="J467" s="135"/>
      <c r="K467" s="136"/>
      <c r="L467" s="134"/>
    </row>
    <row r="468" spans="3:12">
      <c r="C468" s="33"/>
      <c r="D468" s="43"/>
      <c r="E468" s="139"/>
      <c r="F468" s="112"/>
      <c r="G468" s="112"/>
      <c r="H468" s="112"/>
      <c r="I468" s="112"/>
      <c r="J468" s="135"/>
      <c r="K468" s="136"/>
      <c r="L468" s="134"/>
    </row>
    <row r="469" spans="3:12">
      <c r="C469" s="33"/>
      <c r="D469" s="43"/>
      <c r="E469" s="139"/>
      <c r="F469" s="112"/>
      <c r="G469" s="112"/>
      <c r="H469" s="112"/>
      <c r="I469" s="112"/>
      <c r="J469" s="135"/>
      <c r="K469" s="136"/>
      <c r="L469" s="134"/>
    </row>
    <row r="470" spans="3:12">
      <c r="C470" s="33"/>
      <c r="D470" s="43"/>
      <c r="E470" s="139"/>
      <c r="F470" s="112"/>
      <c r="G470" s="112"/>
      <c r="H470" s="112"/>
      <c r="I470" s="112"/>
      <c r="J470" s="135"/>
      <c r="K470" s="136"/>
      <c r="L470" s="134"/>
    </row>
    <row r="471" spans="3:12">
      <c r="C471" s="33"/>
      <c r="D471" s="43"/>
      <c r="E471" s="139"/>
      <c r="F471" s="112"/>
      <c r="G471" s="112"/>
      <c r="H471" s="112"/>
      <c r="I471" s="112"/>
      <c r="J471" s="135"/>
      <c r="K471" s="136"/>
      <c r="L471" s="134"/>
    </row>
    <row r="472" spans="3:12">
      <c r="C472" s="33"/>
      <c r="D472" s="43"/>
      <c r="E472" s="139"/>
      <c r="F472" s="112"/>
      <c r="G472" s="112"/>
      <c r="H472" s="112"/>
      <c r="I472" s="112"/>
      <c r="J472" s="135"/>
      <c r="K472" s="136"/>
      <c r="L472" s="134"/>
    </row>
    <row r="473" spans="3:12">
      <c r="C473" s="33"/>
      <c r="D473" s="43"/>
      <c r="E473" s="139"/>
      <c r="F473" s="112"/>
      <c r="G473" s="112"/>
      <c r="H473" s="112"/>
      <c r="I473" s="112"/>
      <c r="J473" s="135"/>
      <c r="K473" s="136"/>
      <c r="L473" s="134"/>
    </row>
    <row r="474" spans="3:12">
      <c r="C474" s="33"/>
      <c r="D474" s="43"/>
      <c r="E474" s="139"/>
      <c r="F474" s="112"/>
      <c r="G474" s="112"/>
      <c r="H474" s="112"/>
      <c r="I474" s="112"/>
      <c r="J474" s="135"/>
      <c r="K474" s="136"/>
      <c r="L474" s="134"/>
    </row>
    <row r="475" spans="3:12">
      <c r="C475" s="33"/>
      <c r="D475" s="43"/>
      <c r="E475" s="139"/>
      <c r="F475" s="112"/>
      <c r="G475" s="112"/>
      <c r="H475" s="112"/>
      <c r="I475" s="112"/>
      <c r="J475" s="135"/>
      <c r="K475" s="136"/>
      <c r="L475" s="134"/>
    </row>
    <row r="476" spans="3:12">
      <c r="C476" s="33"/>
      <c r="D476" s="43"/>
      <c r="E476" s="139"/>
      <c r="F476" s="112"/>
      <c r="G476" s="112"/>
      <c r="H476" s="112"/>
      <c r="I476" s="112"/>
      <c r="J476" s="135"/>
      <c r="K476" s="136"/>
      <c r="L476" s="134"/>
    </row>
    <row r="477" spans="3:12">
      <c r="C477" s="33"/>
      <c r="D477" s="43"/>
      <c r="E477" s="139"/>
      <c r="F477" s="112"/>
      <c r="G477" s="112"/>
      <c r="H477" s="112"/>
      <c r="I477" s="112"/>
      <c r="J477" s="135"/>
      <c r="K477" s="136"/>
      <c r="L477" s="134"/>
    </row>
    <row r="478" spans="3:12">
      <c r="C478" s="33"/>
      <c r="D478" s="43"/>
      <c r="E478" s="139"/>
      <c r="F478" s="112"/>
      <c r="G478" s="112"/>
      <c r="H478" s="112"/>
      <c r="I478" s="112"/>
      <c r="J478" s="135"/>
      <c r="K478" s="136"/>
      <c r="L478" s="134"/>
    </row>
    <row r="479" spans="3:12">
      <c r="C479" s="33"/>
      <c r="D479" s="43"/>
      <c r="E479" s="139"/>
      <c r="F479" s="112"/>
      <c r="G479" s="112"/>
      <c r="H479" s="112"/>
      <c r="I479" s="112"/>
      <c r="J479" s="135"/>
      <c r="K479" s="136"/>
      <c r="L479" s="134"/>
    </row>
    <row r="480" spans="3:12">
      <c r="C480" s="33"/>
      <c r="D480" s="43"/>
      <c r="E480" s="139"/>
      <c r="F480" s="112"/>
      <c r="G480" s="112"/>
      <c r="H480" s="112"/>
      <c r="I480" s="112"/>
      <c r="J480" s="135"/>
      <c r="K480" s="136"/>
      <c r="L480" s="134"/>
    </row>
    <row r="481" spans="3:12">
      <c r="C481" s="33"/>
      <c r="D481" s="43"/>
      <c r="E481" s="139"/>
      <c r="F481" s="112"/>
      <c r="G481" s="112"/>
      <c r="H481" s="112"/>
      <c r="I481" s="112"/>
      <c r="J481" s="135"/>
      <c r="K481" s="136"/>
      <c r="L481" s="134"/>
    </row>
    <row r="482" spans="3:12">
      <c r="C482" s="33"/>
      <c r="D482" s="43"/>
      <c r="E482" s="139"/>
      <c r="F482" s="112"/>
      <c r="G482" s="112"/>
      <c r="H482" s="112"/>
      <c r="I482" s="112"/>
      <c r="J482" s="135"/>
      <c r="K482" s="136"/>
      <c r="L482" s="134"/>
    </row>
    <row r="483" spans="3:12">
      <c r="C483" s="33"/>
      <c r="D483" s="43"/>
      <c r="E483" s="139"/>
      <c r="F483" s="112"/>
      <c r="G483" s="112"/>
      <c r="H483" s="112"/>
      <c r="I483" s="112"/>
      <c r="J483" s="135"/>
      <c r="K483" s="136"/>
      <c r="L483" s="134"/>
    </row>
    <row r="484" spans="3:12">
      <c r="C484" s="33"/>
      <c r="D484" s="43"/>
      <c r="E484" s="139"/>
      <c r="F484" s="112"/>
      <c r="G484" s="112"/>
      <c r="H484" s="112"/>
      <c r="I484" s="112"/>
      <c r="J484" s="135"/>
      <c r="K484" s="136"/>
      <c r="L484" s="134"/>
    </row>
    <row r="485" spans="3:12">
      <c r="C485" s="33"/>
      <c r="D485" s="43"/>
      <c r="E485" s="139"/>
      <c r="F485" s="112"/>
      <c r="G485" s="112"/>
      <c r="H485" s="112"/>
      <c r="I485" s="112"/>
      <c r="J485" s="135"/>
      <c r="K485" s="136"/>
      <c r="L485" s="134"/>
    </row>
    <row r="486" spans="3:12">
      <c r="C486" s="33"/>
      <c r="D486" s="43"/>
      <c r="E486" s="139"/>
      <c r="F486" s="112"/>
      <c r="G486" s="112"/>
      <c r="H486" s="112"/>
      <c r="I486" s="112"/>
      <c r="J486" s="135"/>
      <c r="K486" s="136"/>
      <c r="L486" s="134"/>
    </row>
    <row r="487" spans="3:12">
      <c r="C487" s="33"/>
      <c r="D487" s="43"/>
      <c r="E487" s="139"/>
      <c r="F487" s="112"/>
      <c r="G487" s="112"/>
      <c r="H487" s="112"/>
      <c r="I487" s="112"/>
      <c r="J487" s="135"/>
      <c r="K487" s="136"/>
      <c r="L487" s="134"/>
    </row>
    <row r="488" spans="3:12">
      <c r="C488" s="33"/>
      <c r="D488" s="43"/>
      <c r="E488" s="139"/>
      <c r="F488" s="112"/>
      <c r="G488" s="112"/>
      <c r="H488" s="112"/>
      <c r="I488" s="112"/>
      <c r="J488" s="135"/>
      <c r="K488" s="136"/>
      <c r="L488" s="134"/>
    </row>
  </sheetData>
  <conditionalFormatting sqref="B4">
    <cfRule type="duplicateValues" dxfId="5" priority="1"/>
  </conditionalFormatting>
  <conditionalFormatting sqref="D10:D12">
    <cfRule type="containsText" dxfId="4" priority="2" operator="containsText" text="non-">
      <formula>NOT(ISERROR(SEARCH("non-",D10)))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79F06-5F30-4D07-97CA-FE175130C96A}">
  <sheetPr codeName="Sheet5">
    <tabColor theme="1"/>
  </sheetPr>
  <dimension ref="A1:A2"/>
  <sheetViews>
    <sheetView workbookViewId="0"/>
  </sheetViews>
  <sheetFormatPr defaultColWidth="7.6640625" defaultRowHeight="13.8"/>
  <cols>
    <col min="1" max="16384" width="7.6640625" style="9"/>
  </cols>
  <sheetData>
    <row r="1" spans="1:1">
      <c r="A1" s="8" t="s">
        <v>15</v>
      </c>
    </row>
    <row r="2" spans="1:1">
      <c r="A2" s="10" t="str" cm="1">
        <f t="array" aca="1" ref="A2" ca="1" xml:space="preserve"> HYPERLINK("#'" &amp; _xlfn.TEXTAFTER(CELL("filename",'Home Page'!$A$1),"]") &amp; "'!A1","Back to Home Page")</f>
        <v>Back to Home Page</v>
      </c>
    </row>
  </sheetData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B02EF-04AB-4646-9005-D4D30A29BDF1}">
  <sheetPr codeName="Sheet6"/>
  <dimension ref="B1:AB57"/>
  <sheetViews>
    <sheetView showGridLines="0" zoomScaleNormal="100" workbookViewId="0"/>
  </sheetViews>
  <sheetFormatPr defaultColWidth="9.109375" defaultRowHeight="14.4"/>
  <cols>
    <col min="1" max="1" width="1.6640625" customWidth="1"/>
    <col min="2" max="18" width="9.109375" customWidth="1"/>
    <col min="19" max="19" width="10" customWidth="1"/>
    <col min="20" max="26" width="12" customWidth="1"/>
    <col min="27" max="27" width="10" customWidth="1"/>
    <col min="28" max="16383" width="9.109375" customWidth="1"/>
  </cols>
  <sheetData>
    <row r="1" spans="2:28" ht="36.6">
      <c r="B1" s="25" t="str" cm="1">
        <f t="array" aca="1" ref="B1" ca="1">_xlfn.TEXTAFTER(CELL("filename",B1),"]")</f>
        <v>Summary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</row>
    <row r="2" spans="2:28" ht="15.6">
      <c r="B2" s="26" t="s">
        <v>68</v>
      </c>
      <c r="C2" s="12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</row>
    <row r="3" spans="2:28">
      <c r="B3" s="13"/>
      <c r="C3" s="12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</row>
    <row r="4" spans="2:28">
      <c r="B4" s="14" t="str" cm="1">
        <f t="array" aca="1" ref="B4" ca="1" xml:space="preserve"> HYPERLINK("#'" &amp; _xlfn.TEXTAFTER(CELL("filename",'Home Page'!$A$1),"]") &amp; "'!A1","Back to Home Page")</f>
        <v>Back to Home Page</v>
      </c>
      <c r="C4" s="12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2:28">
      <c r="B5" s="13"/>
      <c r="C5" s="12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7" spans="2:28" ht="33.6">
      <c r="B7" s="44" t="s">
        <v>69</v>
      </c>
      <c r="G7" s="42"/>
      <c r="Q7" s="42"/>
    </row>
    <row r="9" spans="2:28" ht="15" customHeight="1">
      <c r="S9" s="276" t="str">
        <f ca="1">IFERROR('Model Calcuations'!EE11,"Please input municipal capital expenditure on the 'Core Inputs Interface'")</f>
        <v>The Combined Ontario Municipalities plans to spend approximately $26.25bn per year on the construction of municipal assets such as Roads, Non-Residential Building and Storm/Sanitary Sewers.</v>
      </c>
      <c r="T9" s="276"/>
      <c r="U9" s="276"/>
      <c r="V9" s="276"/>
      <c r="W9" s="276"/>
      <c r="X9" s="276"/>
      <c r="Y9" s="276"/>
      <c r="Z9" s="276"/>
      <c r="AA9" s="276"/>
    </row>
    <row r="10" spans="2:28" ht="15" customHeight="1">
      <c r="S10" s="276"/>
      <c r="T10" s="276"/>
      <c r="U10" s="276"/>
      <c r="V10" s="276"/>
      <c r="W10" s="276"/>
      <c r="X10" s="276"/>
      <c r="Y10" s="276"/>
      <c r="Z10" s="276"/>
      <c r="AA10" s="276"/>
    </row>
    <row r="11" spans="2:28" ht="15" customHeight="1">
      <c r="S11" s="276"/>
      <c r="T11" s="276"/>
      <c r="U11" s="276"/>
      <c r="V11" s="276"/>
      <c r="W11" s="276"/>
      <c r="X11" s="276"/>
      <c r="Y11" s="276"/>
      <c r="Z11" s="276"/>
      <c r="AA11" s="276"/>
    </row>
    <row r="12" spans="2:28" ht="15" customHeight="1">
      <c r="S12" s="276"/>
      <c r="T12" s="276"/>
      <c r="U12" s="276"/>
      <c r="V12" s="276"/>
      <c r="W12" s="276"/>
      <c r="X12" s="276"/>
      <c r="Y12" s="276"/>
      <c r="Z12" s="276"/>
      <c r="AA12" s="276"/>
    </row>
    <row r="14" spans="2:28">
      <c r="S14" s="276" t="str">
        <f ca="1">IFERROR('Model Calcuations'!EE13,"")</f>
        <v>Based on the input assumptions, total capital expenditure across FY26 and FY27 is expected to increase by approximately $1.10bn, from $52.50bn to $53.60bn</v>
      </c>
      <c r="T14" s="276"/>
      <c r="U14" s="276"/>
      <c r="V14" s="276"/>
      <c r="W14" s="276"/>
      <c r="X14" s="276"/>
      <c r="Y14" s="276"/>
      <c r="Z14" s="276"/>
      <c r="AA14" s="276"/>
    </row>
    <row r="15" spans="2:28"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2:28">
      <c r="S16" s="276"/>
      <c r="T16" s="276"/>
      <c r="U16" s="276"/>
      <c r="V16" s="276"/>
      <c r="W16" s="276"/>
      <c r="X16" s="276"/>
      <c r="Y16" s="276"/>
      <c r="Z16" s="276"/>
      <c r="AA16" s="276"/>
    </row>
    <row r="18" spans="2:27">
      <c r="S18" s="276" t="str">
        <f ca="1">IFERROR('Model Calcuations'!EE17,"")</f>
        <v>The bulk of the expenditure increase is expected to come from Roads and Non-Residential Building.</v>
      </c>
      <c r="T18" s="276"/>
      <c r="U18" s="276"/>
      <c r="V18" s="276"/>
      <c r="W18" s="276"/>
      <c r="X18" s="276"/>
      <c r="Y18" s="276"/>
      <c r="Z18" s="276"/>
      <c r="AA18" s="276"/>
    </row>
    <row r="19" spans="2:27">
      <c r="S19" s="276"/>
      <c r="T19" s="276"/>
      <c r="U19" s="276"/>
      <c r="V19" s="276"/>
      <c r="W19" s="276"/>
      <c r="X19" s="276"/>
      <c r="Y19" s="276"/>
      <c r="Z19" s="276"/>
      <c r="AA19" s="276"/>
    </row>
    <row r="20" spans="2:27">
      <c r="S20" s="276"/>
      <c r="T20" s="276"/>
      <c r="U20" s="276"/>
      <c r="V20" s="276"/>
      <c r="W20" s="276"/>
      <c r="X20" s="276"/>
      <c r="Y20" s="276"/>
      <c r="Z20" s="276"/>
      <c r="AA20" s="276"/>
    </row>
    <row r="22" spans="2:27" ht="18">
      <c r="S22" s="45" t="str">
        <f ca="1">IF(T23="","","This assumes the imposition of a:")</f>
        <v>This assumes the imposition of a:</v>
      </c>
      <c r="T22" s="45"/>
      <c r="U22" s="45"/>
      <c r="V22" s="45"/>
      <c r="W22" s="45"/>
      <c r="X22" s="45"/>
      <c r="Y22" s="45"/>
      <c r="Z22" s="45"/>
      <c r="AA22" s="46"/>
    </row>
    <row r="23" spans="2:27" ht="18">
      <c r="S23" s="45"/>
      <c r="T23" s="47" t="str" cm="1">
        <f t="array" aca="1" ref="T23:T24" ca="1">_xlfn.ANCHORARRAY('Model Calcuations'!EE25)</f>
        <v>- 25% tariff on Plant and equipment &amp; 19 other key construction inputs</v>
      </c>
      <c r="U23" s="45"/>
      <c r="V23" s="45"/>
      <c r="W23" s="45"/>
      <c r="X23" s="45"/>
      <c r="Y23" s="45"/>
      <c r="Z23" s="45"/>
      <c r="AA23" s="46"/>
    </row>
    <row r="24" spans="2:27" ht="18">
      <c r="S24" s="45"/>
      <c r="T24" s="47" t="str">
        <f ca="1"/>
        <v>- 10% tariff on Diesel</v>
      </c>
      <c r="U24" s="45"/>
      <c r="V24" s="45"/>
      <c r="W24" s="45"/>
      <c r="X24" s="45"/>
      <c r="Y24" s="45"/>
      <c r="Z24" s="45"/>
      <c r="AA24" s="46"/>
    </row>
    <row r="25" spans="2:27" ht="17.25" customHeight="1">
      <c r="T25" s="47"/>
      <c r="U25" s="45"/>
      <c r="V25" s="45"/>
      <c r="W25" s="45"/>
      <c r="X25" s="45"/>
      <c r="Y25" s="45"/>
      <c r="Z25" s="45"/>
      <c r="AA25" s="46"/>
    </row>
    <row r="26" spans="2:27">
      <c r="S26" s="244" t="s">
        <v>149</v>
      </c>
    </row>
    <row r="30" spans="2:27" ht="15.6">
      <c r="B30" s="44" t="s">
        <v>70</v>
      </c>
    </row>
    <row r="55" spans="2:28" s="3" customFormat="1" ht="13.8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2:28" s="3" customFormat="1" ht="13.8">
      <c r="B56" s="3" t="str" cm="1">
        <f t="array" aca="1" ref="B56" ca="1">_xlfn.CONCAT("End of ",_xlfn.TEXTAFTER(CELL("filename",B14),"]"))</f>
        <v>End of Summary</v>
      </c>
    </row>
    <row r="57" spans="2:28" s="3" customFormat="1" ht="13.8"/>
  </sheetData>
  <mergeCells count="3">
    <mergeCell ref="S18:AA20"/>
    <mergeCell ref="S14:AA16"/>
    <mergeCell ref="S9:AA12"/>
  </mergeCells>
  <conditionalFormatting sqref="B4">
    <cfRule type="duplicateValues" dxfId="3" priority="1"/>
  </conditionalFormatting>
  <pageMargins left="0.7" right="0.7" top="0.75" bottom="0.75" header="0.3" footer="0.3"/>
  <pageSetup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141A4-8FCC-445E-9F65-8CFD15412E17}">
  <sheetPr codeName="Sheet7"/>
  <dimension ref="B1:AC1048576"/>
  <sheetViews>
    <sheetView showGridLines="0" zoomScaleNormal="100" workbookViewId="0"/>
  </sheetViews>
  <sheetFormatPr defaultColWidth="9.109375" defaultRowHeight="14.4" zeroHeight="1"/>
  <cols>
    <col min="1" max="1" width="1.6640625" customWidth="1"/>
    <col min="2" max="2" width="18.6640625" customWidth="1"/>
    <col min="3" max="3" width="9.88671875" customWidth="1"/>
    <col min="4" max="4" width="17.88671875" bestFit="1" customWidth="1"/>
    <col min="5" max="5" width="9.88671875" customWidth="1"/>
    <col min="6" max="7" width="11.33203125" customWidth="1"/>
    <col min="8" max="9" width="6.6640625" bestFit="1" customWidth="1"/>
    <col min="10" max="11" width="8" customWidth="1"/>
    <col min="12" max="13" width="7.44140625" bestFit="1" customWidth="1"/>
    <col min="14" max="14" width="7.6640625" bestFit="1" customWidth="1"/>
    <col min="15" max="15" width="9.109375" customWidth="1"/>
    <col min="16" max="27" width="10" customWidth="1"/>
    <col min="28" max="29" width="9.109375" customWidth="1"/>
  </cols>
  <sheetData>
    <row r="1" spans="2:29" ht="36.6">
      <c r="B1" s="25" t="str" cm="1">
        <f t="array" aca="1" ref="B1" ca="1">_xlfn.TEXTAFTER(CELL("filename",B1),"]")</f>
        <v>Detailed Breakdown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</row>
    <row r="2" spans="2:29" ht="15.6">
      <c r="B2" s="26" t="s">
        <v>71</v>
      </c>
      <c r="C2" s="12"/>
      <c r="D2" s="11"/>
      <c r="E2" s="11"/>
      <c r="F2" s="11"/>
      <c r="G2" s="11"/>
      <c r="H2" s="11"/>
      <c r="I2" s="11"/>
      <c r="J2" s="15"/>
      <c r="K2" s="15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</row>
    <row r="3" spans="2:29">
      <c r="B3" s="13"/>
      <c r="C3" s="12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2:29">
      <c r="B4" s="14" t="str" cm="1">
        <f t="array" aca="1" ref="B4" ca="1" xml:space="preserve"> HYPERLINK("#'" &amp; _xlfn.TEXTAFTER(CELL("filename",'Home Page'!$A$1),"]") &amp; "'!A1","Back to Contents Tab")</f>
        <v>Back to Contents Tab</v>
      </c>
      <c r="C4" s="12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2:29">
      <c r="B5" s="13"/>
      <c r="C5" s="12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2:29"/>
    <row r="7" spans="2:29" ht="15" customHeight="1">
      <c r="B7" s="49">
        <v>10</v>
      </c>
      <c r="C7" s="49" t="str" cm="1">
        <f t="array" ref="C7">INDEX('Model Calcuations'!GA8:GA19,B7)</f>
        <v>Machinery &amp; Equipment</v>
      </c>
      <c r="D7" s="49"/>
      <c r="E7" s="49"/>
      <c r="N7" s="104"/>
      <c r="P7" s="276" t="str">
        <f ca="1">IFERROR(IF('Model Calcuations'!EI8="Optional Project-Level Input",'Model Calcuations'!HS8,'Model Calcuations'!FQ9),"No Capex Expected")</f>
        <v>The Combined Ontario Municipalities plans to spend approximately $0mn per year on the construction of municipal Machinery &amp; Equipment.</v>
      </c>
      <c r="Q7" s="276"/>
      <c r="R7" s="276"/>
      <c r="S7" s="276"/>
      <c r="T7" s="276"/>
      <c r="U7" s="276"/>
      <c r="V7" s="276"/>
      <c r="W7" s="276"/>
      <c r="X7" s="276"/>
      <c r="Y7" s="276"/>
      <c r="Z7" s="276"/>
      <c r="AA7" s="276"/>
    </row>
    <row r="8" spans="2:29" ht="7.5" customHeight="1">
      <c r="B8" s="27"/>
      <c r="J8" s="28"/>
      <c r="K8" s="28"/>
      <c r="N8" s="104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</row>
    <row r="9" spans="2:29" ht="15" customHeight="1">
      <c r="B9" s="29"/>
      <c r="C9" s="29"/>
      <c r="D9" s="29"/>
      <c r="E9" s="29"/>
      <c r="F9" s="277" t="s">
        <v>129</v>
      </c>
      <c r="G9" s="278"/>
      <c r="H9" s="277" t="s">
        <v>58</v>
      </c>
      <c r="I9" s="278"/>
      <c r="J9" s="277" t="s">
        <v>135</v>
      </c>
      <c r="K9" s="278"/>
      <c r="L9" s="279" t="s">
        <v>73</v>
      </c>
      <c r="M9" s="280"/>
      <c r="N9" s="104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  <c r="AA9" s="276"/>
    </row>
    <row r="10" spans="2:29" ht="15" customHeight="1">
      <c r="B10" s="29" t="s">
        <v>63</v>
      </c>
      <c r="C10" s="30" t="s">
        <v>74</v>
      </c>
      <c r="D10" s="30" t="s">
        <v>165</v>
      </c>
      <c r="E10" s="30" t="s">
        <v>59</v>
      </c>
      <c r="F10" s="38" t="s">
        <v>24</v>
      </c>
      <c r="G10" s="51" t="s">
        <v>25</v>
      </c>
      <c r="H10" s="38" t="s">
        <v>24</v>
      </c>
      <c r="I10" s="51" t="s">
        <v>25</v>
      </c>
      <c r="J10" s="38" t="s">
        <v>24</v>
      </c>
      <c r="K10" s="32" t="s">
        <v>25</v>
      </c>
      <c r="L10" s="38" t="s">
        <v>24</v>
      </c>
      <c r="M10" s="32" t="s">
        <v>25</v>
      </c>
      <c r="N10" s="104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</row>
    <row r="11" spans="2:29" ht="15" customHeight="1">
      <c r="B11" s="33" t="str" cm="1">
        <f t="array" aca="1" ref="B11" ca="1">IFERROR(_xlfn.ANCHORARRAY('Model Calcuations'!EY11),"No Capex Expected")</f>
        <v/>
      </c>
      <c r="C11" s="249" t="str" cm="1">
        <f t="array" aca="1" ref="C11" ca="1">IFERROR(_xlfn.ANCHORARRAY('Model Calcuations'!EZ11),"")</f>
        <v/>
      </c>
      <c r="D11" s="249" t="str" cm="1">
        <f t="array" aca="1" ref="D11" ca="1">IFERROR(_xlfn.ANCHORARRAY('Model Calcuations'!FA11),"")</f>
        <v/>
      </c>
      <c r="E11" s="151" t="str" cm="1">
        <f t="array" aca="1" ref="E11" ca="1">IFERROR(_xlfn.ANCHORARRAY('Model Calcuations'!FB11),"")</f>
        <v/>
      </c>
      <c r="F11" s="221" t="str" cm="1">
        <f t="array" aca="1" ref="F11" ca="1">IFERROR(_xlfn.ANCHORARRAY('Model Calcuations'!FC11),"")</f>
        <v/>
      </c>
      <c r="G11" s="222" t="str" cm="1">
        <f t="array" aca="1" ref="G11" ca="1">IFERROR(_xlfn.ANCHORARRAY('Model Calcuations'!FD11),"")</f>
        <v/>
      </c>
      <c r="H11" s="99" t="str" cm="1">
        <f t="array" aca="1" ref="H11" ca="1">IFERROR(_xlfn.ANCHORARRAY('Model Calcuations'!FE11),"")</f>
        <v/>
      </c>
      <c r="I11" s="100" t="str" cm="1">
        <f t="array" aca="1" ref="I11" ca="1">IFERROR(_xlfn.ANCHORARRAY('Model Calcuations'!FF11),"")</f>
        <v/>
      </c>
      <c r="J11" s="101" t="str" cm="1">
        <f t="array" aca="1" ref="J11" ca="1">IFERROR(_xlfn.ANCHORARRAY('Model Calcuations'!FG11),"")</f>
        <v/>
      </c>
      <c r="K11" s="102" t="str" cm="1">
        <f t="array" aca="1" ref="K11" ca="1">IFERROR(_xlfn.ANCHORARRAY('Model Calcuations'!FH11),"")</f>
        <v/>
      </c>
      <c r="L11" s="103" t="str" cm="1">
        <f t="array" aca="1" ref="L11" ca="1">IFERROR(_xlfn.ANCHORARRAY('Model Calcuations'!FI11),"")</f>
        <v/>
      </c>
      <c r="M11" s="104" t="str" cm="1">
        <f t="array" aca="1" ref="M11" ca="1">IFERROR(_xlfn.ANCHORARRAY('Model Calcuations'!FJ11),"")</f>
        <v/>
      </c>
      <c r="N11" s="119"/>
      <c r="P11" s="276" t="str">
        <f ca="1">IFERROR(IF('Model Calcuations'!EI8="Optional Project-Level Input",'Model Calcuations'!HS12,'Model Calcuations'!FQ13),"")</f>
        <v/>
      </c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6"/>
    </row>
    <row r="12" spans="2:29" ht="15" customHeight="1">
      <c r="B12" s="34"/>
      <c r="C12" s="249"/>
      <c r="D12" s="249"/>
      <c r="E12" s="249"/>
      <c r="F12" s="223"/>
      <c r="G12" s="224"/>
      <c r="H12" s="105"/>
      <c r="I12" s="106"/>
      <c r="J12" s="107"/>
      <c r="K12" s="108"/>
      <c r="L12" s="109"/>
      <c r="M12" s="110"/>
      <c r="N12" s="119"/>
      <c r="P12" s="276"/>
      <c r="Q12" s="276"/>
      <c r="R12" s="276"/>
      <c r="S12" s="276"/>
      <c r="T12" s="276"/>
      <c r="U12" s="276"/>
      <c r="V12" s="276"/>
      <c r="W12" s="276"/>
      <c r="X12" s="276"/>
      <c r="Y12" s="276"/>
      <c r="Z12" s="276"/>
      <c r="AA12" s="276"/>
    </row>
    <row r="13" spans="2:29" ht="15" customHeight="1">
      <c r="B13" s="33"/>
      <c r="C13" s="151"/>
      <c r="D13" s="151"/>
      <c r="E13" s="151"/>
      <c r="F13" s="221"/>
      <c r="G13" s="222"/>
      <c r="H13" s="99"/>
      <c r="I13" s="100"/>
      <c r="J13" s="101"/>
      <c r="K13" s="102"/>
      <c r="L13" s="103"/>
      <c r="M13" s="104"/>
      <c r="N13" s="119"/>
      <c r="P13" s="276"/>
      <c r="Q13" s="276"/>
      <c r="R13" s="276"/>
      <c r="S13" s="276"/>
      <c r="T13" s="276"/>
      <c r="U13" s="276"/>
      <c r="V13" s="276"/>
      <c r="W13" s="276"/>
      <c r="X13" s="276"/>
      <c r="Y13" s="276"/>
      <c r="Z13" s="276"/>
      <c r="AA13" s="276"/>
    </row>
    <row r="14" spans="2:29" ht="15" customHeight="1">
      <c r="B14" s="33"/>
      <c r="C14" s="151"/>
      <c r="D14" s="151"/>
      <c r="E14" s="151"/>
      <c r="F14" s="221"/>
      <c r="G14" s="222"/>
      <c r="H14" s="99"/>
      <c r="I14" s="100"/>
      <c r="J14" s="101"/>
      <c r="K14" s="102"/>
      <c r="L14" s="103"/>
      <c r="M14" s="104"/>
      <c r="N14" s="119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</row>
    <row r="15" spans="2:29">
      <c r="B15" s="33"/>
      <c r="C15" s="151"/>
      <c r="D15" s="151"/>
      <c r="E15" s="151"/>
      <c r="F15" s="221"/>
      <c r="G15" s="222"/>
      <c r="H15" s="99"/>
      <c r="I15" s="100"/>
      <c r="J15" s="101"/>
      <c r="K15" s="102"/>
      <c r="L15" s="103"/>
      <c r="M15" s="104"/>
      <c r="N15" s="119"/>
    </row>
    <row r="16" spans="2:29" ht="15" customHeight="1">
      <c r="B16" s="33"/>
      <c r="C16" s="151"/>
      <c r="D16" s="151"/>
      <c r="E16" s="151"/>
      <c r="F16" s="221"/>
      <c r="G16" s="222"/>
      <c r="H16" s="99"/>
      <c r="I16" s="100"/>
      <c r="J16" s="101"/>
      <c r="K16" s="102"/>
      <c r="L16" s="103"/>
      <c r="M16" s="104"/>
      <c r="N16" s="119"/>
      <c r="P16" s="276" t="str">
        <f>IF('Model Calcuations'!EI8="Optional Project-Level Input",'Model Calcuations'!HS15,IFERROR('Model Calcuations'!FQ15,""))</f>
        <v/>
      </c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2:27" ht="15" customHeight="1">
      <c r="B17" s="33"/>
      <c r="C17" s="151"/>
      <c r="D17" s="151"/>
      <c r="E17" s="151"/>
      <c r="F17" s="221"/>
      <c r="G17" s="222"/>
      <c r="H17" s="99"/>
      <c r="I17" s="100"/>
      <c r="J17" s="101"/>
      <c r="K17" s="102"/>
      <c r="L17" s="103"/>
      <c r="M17" s="104"/>
      <c r="N17" s="119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</row>
    <row r="18" spans="2:27" ht="15" customHeight="1">
      <c r="B18" s="33"/>
      <c r="C18" s="151"/>
      <c r="D18" s="151"/>
      <c r="E18" s="151"/>
      <c r="F18" s="101"/>
      <c r="G18" s="102"/>
      <c r="H18" s="99"/>
      <c r="I18" s="100"/>
      <c r="J18" s="101"/>
      <c r="K18" s="102"/>
      <c r="L18" s="103"/>
      <c r="M18" s="104"/>
      <c r="N18" s="119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</row>
    <row r="19" spans="2:27">
      <c r="B19" s="33"/>
      <c r="C19" s="151"/>
      <c r="D19" s="151"/>
      <c r="E19" s="151"/>
      <c r="F19" s="101"/>
      <c r="G19" s="102"/>
      <c r="H19" s="99"/>
      <c r="I19" s="100"/>
      <c r="J19" s="101"/>
      <c r="K19" s="102"/>
      <c r="L19" s="103"/>
      <c r="M19" s="104"/>
      <c r="N19" s="119"/>
    </row>
    <row r="20" spans="2:27" ht="18">
      <c r="B20" s="33"/>
      <c r="C20" s="151"/>
      <c r="D20" s="151"/>
      <c r="E20" s="151"/>
      <c r="F20" s="101"/>
      <c r="G20" s="102"/>
      <c r="H20" s="99"/>
      <c r="I20" s="100"/>
      <c r="J20" s="101"/>
      <c r="K20" s="102"/>
      <c r="L20" s="103"/>
      <c r="M20" s="104"/>
      <c r="N20" s="119"/>
      <c r="P20" s="45" t="str">
        <f ca="1">IF(Q21="","","This assumes the imposition of a:")</f>
        <v/>
      </c>
      <c r="Q20" s="45"/>
      <c r="R20" s="45"/>
      <c r="S20" s="45"/>
      <c r="T20" s="45"/>
      <c r="U20" s="45"/>
      <c r="V20" s="45"/>
      <c r="W20" s="45"/>
      <c r="X20" s="46"/>
      <c r="Y20" s="46"/>
      <c r="Z20" s="46"/>
      <c r="AA20" s="46"/>
    </row>
    <row r="21" spans="2:27" ht="18">
      <c r="B21" s="33"/>
      <c r="C21" s="151"/>
      <c r="D21" s="151"/>
      <c r="E21" s="151"/>
      <c r="F21" s="120"/>
      <c r="G21" s="121"/>
      <c r="H21" s="99"/>
      <c r="I21" s="100"/>
      <c r="J21" s="101"/>
      <c r="K21" s="102"/>
      <c r="L21" s="103"/>
      <c r="M21" s="104"/>
      <c r="N21" s="119"/>
      <c r="P21" s="45"/>
      <c r="Q21" s="47" t="str" cm="1">
        <f t="array" aca="1" ref="Q21" ca="1">IFERROR(IF('Model Calcuations'!EI8="Optional Project-Level Input",_xlfn.ANCHORARRAY('Model Calcuations'!HW18),_xlfn.ANCHORARRAY('Model Calcuations'!FU18)),"")</f>
        <v/>
      </c>
      <c r="R21" s="45"/>
      <c r="S21" s="45"/>
      <c r="T21" s="45"/>
      <c r="U21" s="45"/>
      <c r="V21" s="45"/>
      <c r="W21" s="45"/>
      <c r="X21" s="46"/>
      <c r="Y21" s="46"/>
      <c r="Z21" s="46"/>
      <c r="AA21" s="46"/>
    </row>
    <row r="22" spans="2:27" ht="18">
      <c r="B22" s="33"/>
      <c r="C22" s="151"/>
      <c r="D22" s="151"/>
      <c r="E22" s="151"/>
      <c r="F22" s="120"/>
      <c r="G22" s="121"/>
      <c r="H22" s="99"/>
      <c r="I22" s="100"/>
      <c r="J22" s="101"/>
      <c r="K22" s="102"/>
      <c r="L22" s="103"/>
      <c r="M22" s="104"/>
      <c r="N22" s="119"/>
      <c r="P22" s="45"/>
      <c r="Q22" s="47"/>
      <c r="R22" s="45"/>
      <c r="S22" s="45"/>
      <c r="T22" s="45"/>
      <c r="U22" s="45"/>
      <c r="V22" s="45"/>
      <c r="W22" s="45"/>
      <c r="X22" s="46"/>
      <c r="Y22" s="46"/>
      <c r="Z22" s="46"/>
      <c r="AA22" s="46"/>
    </row>
    <row r="23" spans="2:27" ht="18">
      <c r="B23" s="33"/>
      <c r="C23" s="151"/>
      <c r="D23" s="151"/>
      <c r="E23" s="151"/>
      <c r="F23" s="120"/>
      <c r="G23" s="121"/>
      <c r="H23" s="99"/>
      <c r="I23" s="100"/>
      <c r="J23" s="101"/>
      <c r="K23" s="102"/>
      <c r="L23" s="103"/>
      <c r="M23" s="104"/>
      <c r="N23" s="119"/>
      <c r="P23" s="244" t="str">
        <f ca="1">IF(Q21="","","*average tariff across the two years")</f>
        <v/>
      </c>
      <c r="Q23" s="47"/>
      <c r="R23" s="45"/>
      <c r="S23" s="45"/>
      <c r="T23" s="45"/>
      <c r="U23" s="45"/>
      <c r="V23" s="45"/>
      <c r="W23" s="45"/>
      <c r="X23" s="46"/>
      <c r="Y23" s="46"/>
      <c r="Z23" s="46"/>
      <c r="AA23" s="46"/>
    </row>
    <row r="24" spans="2:27" ht="18">
      <c r="B24" s="33"/>
      <c r="C24" s="151"/>
      <c r="D24" s="151"/>
      <c r="E24" s="151"/>
      <c r="F24" s="120"/>
      <c r="G24" s="121"/>
      <c r="H24" s="99"/>
      <c r="I24" s="100"/>
      <c r="J24" s="101"/>
      <c r="K24" s="102"/>
      <c r="L24" s="103"/>
      <c r="M24" s="104"/>
      <c r="N24" s="119"/>
      <c r="P24" s="45"/>
      <c r="Q24" s="47"/>
      <c r="R24" s="45"/>
      <c r="S24" s="45"/>
      <c r="T24" s="45"/>
      <c r="U24" s="45"/>
      <c r="V24" s="45"/>
      <c r="W24" s="45"/>
      <c r="X24" s="46"/>
      <c r="Y24" s="46"/>
      <c r="Z24" s="46"/>
      <c r="AA24" s="46"/>
    </row>
    <row r="25" spans="2:27" ht="18">
      <c r="B25" s="33"/>
      <c r="C25" s="151"/>
      <c r="D25" s="151"/>
      <c r="E25" s="151"/>
      <c r="F25" s="120"/>
      <c r="G25" s="121"/>
      <c r="H25" s="99"/>
      <c r="I25" s="100"/>
      <c r="J25" s="101"/>
      <c r="K25" s="102"/>
      <c r="L25" s="103"/>
      <c r="M25" s="104"/>
      <c r="N25" s="119"/>
      <c r="P25" s="45"/>
      <c r="Q25" s="47"/>
      <c r="R25" s="45"/>
      <c r="S25" s="45"/>
      <c r="T25" s="45"/>
      <c r="U25" s="45"/>
      <c r="V25" s="45"/>
      <c r="W25" s="45"/>
      <c r="X25" s="46"/>
      <c r="Y25" s="46"/>
      <c r="Z25" s="46"/>
      <c r="AA25" s="46"/>
    </row>
    <row r="26" spans="2:27" ht="18">
      <c r="B26" s="33"/>
      <c r="C26" s="151"/>
      <c r="D26" s="151"/>
      <c r="E26" s="151"/>
      <c r="F26" s="99"/>
      <c r="G26" s="100"/>
      <c r="H26" s="99"/>
      <c r="I26" s="100"/>
      <c r="J26" s="101"/>
      <c r="K26" s="102"/>
      <c r="L26" s="103"/>
      <c r="M26" s="104"/>
      <c r="N26" s="104"/>
      <c r="P26" s="45"/>
      <c r="Q26" s="47"/>
      <c r="R26" s="45"/>
      <c r="S26" s="45"/>
      <c r="T26" s="45"/>
      <c r="U26" s="45"/>
      <c r="V26" s="45"/>
      <c r="W26" s="45"/>
      <c r="X26" s="46"/>
      <c r="Y26" s="46"/>
      <c r="Z26" s="46"/>
      <c r="AA26" s="46"/>
    </row>
    <row r="27" spans="2:27" ht="18">
      <c r="B27" s="33"/>
      <c r="C27" s="151"/>
      <c r="D27" s="151"/>
      <c r="E27" s="151"/>
      <c r="F27" s="99"/>
      <c r="G27" s="100"/>
      <c r="H27" s="99"/>
      <c r="I27" s="100"/>
      <c r="J27" s="101"/>
      <c r="K27" s="102"/>
      <c r="L27" s="103"/>
      <c r="M27" s="104"/>
      <c r="N27" s="104"/>
      <c r="P27" s="45"/>
      <c r="Q27" s="47"/>
      <c r="R27" s="45"/>
      <c r="S27" s="45"/>
      <c r="T27" s="45"/>
      <c r="U27" s="45"/>
      <c r="V27" s="45"/>
      <c r="W27" s="45"/>
      <c r="X27" s="46"/>
      <c r="Y27" s="46"/>
      <c r="Z27" s="46"/>
      <c r="AA27" s="46"/>
    </row>
    <row r="28" spans="2:27" ht="18">
      <c r="B28" s="33"/>
      <c r="C28" s="151"/>
      <c r="D28" s="151"/>
      <c r="E28" s="151"/>
      <c r="F28" s="99"/>
      <c r="G28" s="100"/>
      <c r="H28" s="99"/>
      <c r="I28" s="100"/>
      <c r="J28" s="101"/>
      <c r="K28" s="102"/>
      <c r="L28" s="103"/>
      <c r="M28" s="104"/>
      <c r="N28" s="104"/>
      <c r="P28" s="45"/>
      <c r="Q28" s="47"/>
      <c r="R28" s="45"/>
      <c r="S28" s="45"/>
      <c r="T28" s="45"/>
      <c r="U28" s="45"/>
      <c r="V28" s="45"/>
      <c r="W28" s="45"/>
      <c r="X28" s="46"/>
      <c r="Y28" s="46"/>
      <c r="Z28" s="46"/>
      <c r="AA28" s="46"/>
    </row>
    <row r="29" spans="2:27" ht="18">
      <c r="B29" s="33"/>
      <c r="C29" s="151"/>
      <c r="D29" s="151"/>
      <c r="E29" s="151"/>
      <c r="F29" s="99"/>
      <c r="G29" s="100"/>
      <c r="H29" s="99"/>
      <c r="I29" s="100"/>
      <c r="J29" s="101"/>
      <c r="K29" s="102"/>
      <c r="L29" s="103"/>
      <c r="M29" s="104"/>
      <c r="N29" s="104"/>
      <c r="P29" s="45"/>
      <c r="Q29" s="47"/>
      <c r="R29" s="45"/>
      <c r="S29" s="45"/>
      <c r="T29" s="45"/>
      <c r="U29" s="45"/>
      <c r="V29" s="45"/>
      <c r="W29" s="45"/>
      <c r="X29" s="46"/>
      <c r="Y29" s="46"/>
      <c r="Z29" s="46"/>
      <c r="AA29" s="46"/>
    </row>
    <row r="30" spans="2:27" ht="18">
      <c r="B30" s="33"/>
      <c r="C30" s="151"/>
      <c r="D30" s="151"/>
      <c r="E30" s="151"/>
      <c r="F30" s="99"/>
      <c r="G30" s="100"/>
      <c r="H30" s="99"/>
      <c r="I30" s="100"/>
      <c r="J30" s="101"/>
      <c r="K30" s="102"/>
      <c r="L30" s="103"/>
      <c r="M30" s="104"/>
      <c r="N30" s="104"/>
      <c r="P30" s="45"/>
      <c r="Q30" s="47"/>
      <c r="R30" s="45"/>
      <c r="S30" s="45"/>
      <c r="T30" s="45"/>
      <c r="U30" s="45"/>
      <c r="V30" s="45"/>
      <c r="W30" s="45"/>
      <c r="X30" s="46"/>
      <c r="Y30" s="46"/>
      <c r="Z30" s="46"/>
      <c r="AA30" s="46"/>
    </row>
    <row r="31" spans="2:27" ht="15" thickBot="1">
      <c r="B31" s="35" t="s">
        <v>76</v>
      </c>
      <c r="C31" s="36"/>
      <c r="D31" s="36"/>
      <c r="E31" s="37"/>
      <c r="F31" s="219">
        <f ca="1">SUM(F11:F30)</f>
        <v>0</v>
      </c>
      <c r="G31" s="220">
        <f ca="1">SUM(G11:G30)</f>
        <v>0</v>
      </c>
      <c r="H31" s="219"/>
      <c r="I31" s="220"/>
      <c r="J31" s="250">
        <f ca="1">SUM(J11:J30)</f>
        <v>0</v>
      </c>
      <c r="K31" s="251">
        <f ca="1">SUM(K11:K30)</f>
        <v>0</v>
      </c>
      <c r="L31" s="39" t="e">
        <f ca="1">J31/F31</f>
        <v>#DIV/0!</v>
      </c>
      <c r="M31" s="39" t="e">
        <f ca="1">K31/G31</f>
        <v>#DIV/0!</v>
      </c>
      <c r="N31" s="31"/>
      <c r="Q31" s="118"/>
    </row>
    <row r="32" spans="2:27" ht="15" thickTop="1"/>
    <row r="33" spans="12:15">
      <c r="L33" s="40"/>
      <c r="M33" s="40"/>
      <c r="N33" s="40"/>
      <c r="O33" s="40"/>
    </row>
    <row r="34" spans="12:15">
      <c r="L34" s="40"/>
      <c r="M34" s="40"/>
      <c r="N34" s="40"/>
      <c r="O34" s="40"/>
    </row>
    <row r="35" spans="12:15">
      <c r="L35" s="40"/>
      <c r="M35" s="40"/>
      <c r="N35" s="40"/>
      <c r="O35" s="40"/>
    </row>
    <row r="36" spans="12:15">
      <c r="L36" s="40"/>
      <c r="M36" s="40"/>
      <c r="N36" s="40"/>
      <c r="O36" s="40"/>
    </row>
    <row r="37" spans="12:15">
      <c r="L37" s="40"/>
      <c r="M37" s="40"/>
      <c r="N37" s="40"/>
      <c r="O37" s="40"/>
    </row>
    <row r="38" spans="12:15"/>
    <row r="39" spans="12:15"/>
    <row r="40" spans="12:15"/>
    <row r="41" spans="12:15"/>
    <row r="42" spans="12:15"/>
    <row r="43" spans="12:15"/>
    <row r="44" spans="12:15"/>
    <row r="45" spans="12:15"/>
    <row r="46" spans="12:15"/>
    <row r="47" spans="12:15"/>
    <row r="48" spans="12:15"/>
    <row r="49" spans="2:29"/>
    <row r="50" spans="2:29"/>
    <row r="51" spans="2:29" s="3" customFormat="1" ht="13.8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</row>
    <row r="52" spans="2:29" s="3" customFormat="1" ht="13.8">
      <c r="B52" s="3" t="s">
        <v>77</v>
      </c>
    </row>
    <row r="53" spans="2:29"/>
    <row r="54" spans="2:29"/>
    <row r="55" spans="2:29"/>
    <row r="56" spans="2:29"/>
    <row r="57" spans="2:29"/>
    <row r="58" spans="2:29"/>
    <row r="59" spans="2:29"/>
    <row r="60" spans="2:29"/>
    <row r="61" spans="2:29"/>
    <row r="62" spans="2:29"/>
    <row r="63" spans="2:29"/>
    <row r="64" spans="2:29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7">
    <mergeCell ref="P11:AA14"/>
    <mergeCell ref="P16:AA18"/>
    <mergeCell ref="H9:I9"/>
    <mergeCell ref="F9:G9"/>
    <mergeCell ref="J9:K9"/>
    <mergeCell ref="L9:M9"/>
    <mergeCell ref="P7:AA9"/>
  </mergeCells>
  <conditionalFormatting sqref="B4">
    <cfRule type="duplicateValues" dxfId="2" priority="1"/>
  </conditionalFormatting>
  <pageMargins left="0.7" right="0.7" top="0.75" bottom="0.75" header="0.3" footer="0.3"/>
  <pageSetup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4" name="Drop Down 2">
              <controlPr defaultSize="0" autoLine="0" autoPict="0">
                <anchor moveWithCells="1">
                  <from>
                    <xdr:col>0</xdr:col>
                    <xdr:colOff>106680</xdr:colOff>
                    <xdr:row>6</xdr:row>
                    <xdr:rowOff>7620</xdr:rowOff>
                  </from>
                  <to>
                    <xdr:col>5</xdr:col>
                    <xdr:colOff>129540</xdr:colOff>
                    <xdr:row>7</xdr:row>
                    <xdr:rowOff>45720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A353F-77D6-4AE1-8DD9-A510C1F5AF3D}">
  <sheetPr codeName="Sheet8"/>
  <dimension ref="B1:T487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ColWidth="9.109375" defaultRowHeight="14.4"/>
  <cols>
    <col min="1" max="1" width="1.6640625" customWidth="1"/>
    <col min="2" max="2" width="47.5546875" customWidth="1"/>
    <col min="3" max="3" width="19.88671875" bestFit="1" customWidth="1"/>
    <col min="4" max="4" width="7.33203125" bestFit="1" customWidth="1"/>
    <col min="5" max="5" width="19.33203125" style="17" bestFit="1" customWidth="1"/>
    <col min="6" max="6" width="8.33203125" style="17" bestFit="1" customWidth="1"/>
    <col min="7" max="7" width="22.33203125" style="17" bestFit="1" customWidth="1"/>
    <col min="8" max="8" width="10.44140625" style="17" bestFit="1" customWidth="1"/>
    <col min="9" max="9" width="11.88671875" style="17" bestFit="1" customWidth="1"/>
    <col min="10" max="10" width="15.33203125" style="17" bestFit="1" customWidth="1"/>
    <col min="11" max="11" width="22.109375" style="17" bestFit="1" customWidth="1"/>
    <col min="12" max="12" width="12.6640625" style="131" bestFit="1" customWidth="1"/>
    <col min="13" max="20" width="9.109375" customWidth="1"/>
  </cols>
  <sheetData>
    <row r="1" spans="2:20" ht="36.6">
      <c r="B1" s="25" t="str" cm="1">
        <f t="array" aca="1" ref="B1" ca="1">_xlfn.TEXTAFTER(CELL("filename",B1),"]")</f>
        <v>Downloadable Outputs</v>
      </c>
      <c r="C1" s="11"/>
      <c r="D1" s="11"/>
      <c r="E1" s="67"/>
      <c r="F1" s="67"/>
      <c r="G1" s="67"/>
      <c r="H1" s="67"/>
      <c r="I1" s="67"/>
      <c r="J1" s="67"/>
      <c r="K1" s="67"/>
      <c r="L1" s="130"/>
      <c r="M1" s="11"/>
      <c r="N1" s="11"/>
      <c r="O1" s="11"/>
      <c r="P1" s="11"/>
      <c r="Q1" s="11"/>
      <c r="R1" s="11"/>
      <c r="S1" s="11"/>
      <c r="T1" s="11"/>
    </row>
    <row r="2" spans="2:20" ht="15.6">
      <c r="B2" s="26" t="s">
        <v>78</v>
      </c>
      <c r="C2" s="12"/>
      <c r="D2" s="12"/>
      <c r="E2" s="67"/>
      <c r="F2" s="67"/>
      <c r="G2" s="67"/>
      <c r="H2" s="67"/>
      <c r="I2" s="67"/>
      <c r="J2" s="67"/>
      <c r="K2" s="67"/>
      <c r="L2" s="130"/>
      <c r="M2" s="11"/>
      <c r="N2" s="11"/>
      <c r="O2" s="11"/>
      <c r="P2" s="11"/>
      <c r="Q2" s="11"/>
      <c r="R2" s="11"/>
      <c r="S2" s="11"/>
      <c r="T2" s="11"/>
    </row>
    <row r="3" spans="2:20">
      <c r="B3" s="13"/>
      <c r="C3" s="12"/>
      <c r="D3" s="12"/>
      <c r="E3" s="67"/>
      <c r="F3" s="67"/>
      <c r="G3" s="67"/>
      <c r="H3" s="67"/>
      <c r="I3" s="67"/>
      <c r="J3" s="67"/>
      <c r="K3" s="67"/>
      <c r="L3" s="130"/>
      <c r="M3" s="11"/>
      <c r="N3" s="11"/>
      <c r="O3" s="11"/>
      <c r="P3" s="11"/>
      <c r="Q3" s="11"/>
      <c r="R3" s="11"/>
      <c r="S3" s="11"/>
      <c r="T3" s="11"/>
    </row>
    <row r="4" spans="2:20">
      <c r="B4" s="14" t="str" cm="1">
        <f t="array" aca="1" ref="B4" ca="1" xml:space="preserve"> HYPERLINK("#'" &amp; _xlfn.TEXTAFTER(CELL("filename",'Home Page'!$A$1),"]") &amp; "'!A1","Back to Home Page")</f>
        <v>Back to Home Page</v>
      </c>
      <c r="C4" s="12"/>
      <c r="D4" s="12"/>
      <c r="E4" s="67"/>
      <c r="F4" s="67"/>
      <c r="G4" s="67"/>
      <c r="H4" s="67"/>
      <c r="I4" s="67"/>
      <c r="J4" s="67"/>
      <c r="K4" s="67"/>
      <c r="L4" s="130"/>
      <c r="M4" s="11"/>
      <c r="N4" s="11"/>
      <c r="O4" s="11"/>
      <c r="P4" s="11"/>
      <c r="Q4" s="11"/>
      <c r="R4" s="11"/>
      <c r="S4" s="11"/>
      <c r="T4" s="11"/>
    </row>
    <row r="5" spans="2:20">
      <c r="B5" s="13"/>
      <c r="C5" s="12"/>
      <c r="D5" s="12"/>
      <c r="E5" s="67"/>
      <c r="F5" s="67"/>
      <c r="G5" s="67"/>
      <c r="H5" s="67"/>
      <c r="I5" s="67"/>
      <c r="J5" s="67"/>
      <c r="K5" s="67"/>
      <c r="L5" s="130"/>
      <c r="M5" s="11"/>
      <c r="N5" s="11"/>
      <c r="O5" s="11"/>
      <c r="P5" s="11"/>
      <c r="Q5" s="11"/>
      <c r="R5" s="11"/>
      <c r="S5" s="11"/>
      <c r="T5" s="11"/>
    </row>
    <row r="6" spans="2:20" ht="15" thickBot="1"/>
    <row r="7" spans="2:20">
      <c r="B7" s="113" t="s">
        <v>62</v>
      </c>
      <c r="C7" s="113" t="s">
        <v>63</v>
      </c>
      <c r="D7" s="113" t="s">
        <v>61</v>
      </c>
      <c r="E7" s="137" t="s">
        <v>134</v>
      </c>
      <c r="F7" s="84" t="s">
        <v>74</v>
      </c>
      <c r="G7" s="84" t="s">
        <v>165</v>
      </c>
      <c r="H7" s="84" t="s">
        <v>59</v>
      </c>
      <c r="I7" s="84" t="s">
        <v>58</v>
      </c>
      <c r="J7" s="84" t="s">
        <v>135</v>
      </c>
      <c r="K7" s="84" t="s">
        <v>129</v>
      </c>
      <c r="L7" s="132" t="s">
        <v>80</v>
      </c>
    </row>
    <row r="8" spans="2:20">
      <c r="B8" t="str" cm="1">
        <f t="array" aca="1" ref="B8:L203" ca="1">_xlfn._xlws.FILTER('Model Calcuations'!AE:AO,('Model Calcuations'!AN:AN&gt;0)*ISNUMBER('Model Calcuations'!AN:AN))</f>
        <v>Residential Building - high density</v>
      </c>
      <c r="C8" s="33" t="str">
        <f ca="1"/>
        <v>Labour</v>
      </c>
      <c r="D8" s="43">
        <f ca="1"/>
        <v>46082</v>
      </c>
      <c r="E8" s="138">
        <f ca="1"/>
        <v>633</v>
      </c>
      <c r="F8" s="112">
        <f ca="1"/>
        <v>0.39500000000000002</v>
      </c>
      <c r="G8" s="112" t="str">
        <f ca="1"/>
        <v>N/A</v>
      </c>
      <c r="H8" s="112" t="str">
        <f ca="1"/>
        <v>N/A</v>
      </c>
      <c r="I8" s="112" t="str">
        <f ca="1"/>
        <v>N/A</v>
      </c>
      <c r="J8" s="133">
        <f ca="1"/>
        <v>0</v>
      </c>
      <c r="K8" s="96">
        <f ca="1"/>
        <v>250.03500000000003</v>
      </c>
      <c r="L8" s="134">
        <f ca="1"/>
        <v>0</v>
      </c>
    </row>
    <row r="9" spans="2:20">
      <c r="B9" t="str">
        <f ca="1"/>
        <v>Residential Building - high density</v>
      </c>
      <c r="C9" s="33" t="str">
        <f ca="1"/>
        <v>Engineering design</v>
      </c>
      <c r="D9" s="43">
        <f ca="1"/>
        <v>46082</v>
      </c>
      <c r="E9" s="138">
        <f ca="1"/>
        <v>633</v>
      </c>
      <c r="F9" s="112">
        <f ca="1"/>
        <v>0.02</v>
      </c>
      <c r="G9" s="112" t="str">
        <f ca="1"/>
        <v>N/A</v>
      </c>
      <c r="H9" s="112" t="str">
        <f ca="1"/>
        <v>N/A</v>
      </c>
      <c r="I9" s="112" t="str">
        <f ca="1"/>
        <v>N/A</v>
      </c>
      <c r="J9" s="133">
        <f ca="1"/>
        <v>0</v>
      </c>
      <c r="K9" s="96">
        <f ca="1"/>
        <v>12.66</v>
      </c>
      <c r="L9" s="134">
        <f ca="1"/>
        <v>0</v>
      </c>
    </row>
    <row r="10" spans="2:20">
      <c r="B10" t="str">
        <f ca="1"/>
        <v>Residential Building - high density</v>
      </c>
      <c r="C10" s="33" t="str">
        <f ca="1"/>
        <v>Reinforcing bar</v>
      </c>
      <c r="D10" s="43">
        <f ca="1"/>
        <v>46082</v>
      </c>
      <c r="E10" s="138">
        <f ca="1"/>
        <v>633</v>
      </c>
      <c r="F10" s="112">
        <f ca="1"/>
        <v>0.08</v>
      </c>
      <c r="G10" s="112">
        <f ca="1"/>
        <v>8.4066217963502693E-2</v>
      </c>
      <c r="H10" s="112">
        <f ca="1"/>
        <v>0.6</v>
      </c>
      <c r="I10" s="112">
        <f ca="1"/>
        <v>0.25</v>
      </c>
      <c r="J10" s="133">
        <f ca="1"/>
        <v>0.63856699165076647</v>
      </c>
      <c r="K10" s="96">
        <f ca="1"/>
        <v>50.64</v>
      </c>
      <c r="L10" s="134">
        <f ca="1"/>
        <v>1.2609932694525403E-2</v>
      </c>
    </row>
    <row r="11" spans="2:20">
      <c r="B11" t="str">
        <f ca="1"/>
        <v>Residential Building - high density</v>
      </c>
      <c r="C11" s="33" t="str">
        <f ca="1"/>
        <v>Structural steel</v>
      </c>
      <c r="D11" s="43">
        <f ca="1"/>
        <v>46082</v>
      </c>
      <c r="E11" s="138">
        <f ca="1"/>
        <v>633</v>
      </c>
      <c r="F11" s="112">
        <f ca="1"/>
        <v>0.04</v>
      </c>
      <c r="G11" s="112">
        <f ca="1"/>
        <v>0.52500514810102583</v>
      </c>
      <c r="H11" s="112">
        <f ca="1"/>
        <v>0.6</v>
      </c>
      <c r="I11" s="112">
        <f ca="1"/>
        <v>0.25</v>
      </c>
      <c r="J11" s="133">
        <f ca="1"/>
        <v>1.9939695524876959</v>
      </c>
      <c r="K11" s="96">
        <f ca="1"/>
        <v>25.32</v>
      </c>
      <c r="L11" s="134">
        <f ca="1"/>
        <v>7.8750772215153864E-2</v>
      </c>
    </row>
    <row r="12" spans="2:20">
      <c r="B12" t="str">
        <f ca="1"/>
        <v>Residential Building - high density</v>
      </c>
      <c r="C12" s="33" t="str">
        <f ca="1"/>
        <v>Concrete</v>
      </c>
      <c r="D12" s="43">
        <f ca="1"/>
        <v>46082</v>
      </c>
      <c r="E12" s="138">
        <f ca="1"/>
        <v>633</v>
      </c>
      <c r="F12" s="112">
        <f ca="1"/>
        <v>0.1</v>
      </c>
      <c r="G12" s="112">
        <f ca="1"/>
        <v>1.1472584695084088E-2</v>
      </c>
      <c r="H12" s="112">
        <f ca="1"/>
        <v>0.6</v>
      </c>
      <c r="I12" s="112">
        <f ca="1"/>
        <v>0.25</v>
      </c>
      <c r="J12" s="133">
        <f ca="1"/>
        <v>0.10893219167982342</v>
      </c>
      <c r="K12" s="96">
        <f ca="1"/>
        <v>63.300000000000004</v>
      </c>
      <c r="L12" s="134">
        <f ca="1"/>
        <v>1.720887704262613E-3</v>
      </c>
    </row>
    <row r="13" spans="2:20">
      <c r="B13" t="str">
        <f ca="1"/>
        <v>Residential Building - high density</v>
      </c>
      <c r="C13" s="33" t="str">
        <f ca="1"/>
        <v>Masonry</v>
      </c>
      <c r="D13" s="43">
        <f ca="1"/>
        <v>46082</v>
      </c>
      <c r="E13" s="138">
        <f ca="1"/>
        <v>633</v>
      </c>
      <c r="F13" s="112">
        <f ca="1"/>
        <v>0.01</v>
      </c>
      <c r="G13" s="112">
        <f ca="1"/>
        <v>9.8410961434768088E-2</v>
      </c>
      <c r="H13" s="112">
        <f ca="1"/>
        <v>0.6</v>
      </c>
      <c r="I13" s="112">
        <f ca="1"/>
        <v>0.25</v>
      </c>
      <c r="J13" s="133">
        <f ca="1"/>
        <v>9.3441207882312305E-2</v>
      </c>
      <c r="K13" s="96">
        <f ca="1"/>
        <v>6.33</v>
      </c>
      <c r="L13" s="134">
        <f ca="1"/>
        <v>1.4761644215215215E-2</v>
      </c>
    </row>
    <row r="14" spans="2:20">
      <c r="B14" t="str">
        <f ca="1"/>
        <v>Residential Building - high density</v>
      </c>
      <c r="C14" s="33" t="str">
        <f ca="1"/>
        <v>Wood</v>
      </c>
      <c r="D14" s="43">
        <f ca="1"/>
        <v>46082</v>
      </c>
      <c r="E14" s="138">
        <f ca="1"/>
        <v>633</v>
      </c>
      <c r="F14" s="112">
        <f ca="1"/>
        <v>0.01</v>
      </c>
      <c r="G14" s="112">
        <f ca="1"/>
        <v>0.13840817436677436</v>
      </c>
      <c r="H14" s="112">
        <f ca="1"/>
        <v>0.6</v>
      </c>
      <c r="I14" s="112">
        <f ca="1"/>
        <v>0.25</v>
      </c>
      <c r="J14" s="133">
        <f ca="1"/>
        <v>0.13141856156125226</v>
      </c>
      <c r="K14" s="96">
        <f ca="1"/>
        <v>6.33</v>
      </c>
      <c r="L14" s="134">
        <f ca="1"/>
        <v>2.0761226155016153E-2</v>
      </c>
    </row>
    <row r="15" spans="2:20">
      <c r="B15" t="str">
        <f ca="1"/>
        <v>Residential Building - high density</v>
      </c>
      <c r="C15" s="33" t="str">
        <f ca="1"/>
        <v>Electrical wire</v>
      </c>
      <c r="D15" s="43">
        <f ca="1"/>
        <v>46082</v>
      </c>
      <c r="E15" s="138">
        <f ca="1"/>
        <v>633</v>
      </c>
      <c r="F15" s="112">
        <f ca="1"/>
        <v>0.02</v>
      </c>
      <c r="G15" s="112">
        <f ca="1"/>
        <v>0.80654510583379313</v>
      </c>
      <c r="H15" s="112">
        <f ca="1"/>
        <v>0.6</v>
      </c>
      <c r="I15" s="112">
        <f ca="1"/>
        <v>0.25</v>
      </c>
      <c r="J15" s="133">
        <f ca="1"/>
        <v>1.5316291559783732</v>
      </c>
      <c r="K15" s="96">
        <f ca="1"/>
        <v>12.66</v>
      </c>
      <c r="L15" s="134">
        <f ca="1"/>
        <v>0.12098176587506898</v>
      </c>
    </row>
    <row r="16" spans="2:20">
      <c r="B16" t="str">
        <f ca="1"/>
        <v>Residential Building - high density</v>
      </c>
      <c r="C16" s="33" t="str">
        <f ca="1"/>
        <v>Glass</v>
      </c>
      <c r="D16" s="43">
        <f ca="1"/>
        <v>46082</v>
      </c>
      <c r="E16" s="138">
        <f ca="1"/>
        <v>633</v>
      </c>
      <c r="F16" s="112">
        <f ca="1"/>
        <v>0.04</v>
      </c>
      <c r="G16" s="112">
        <f ca="1"/>
        <v>0.24210307145623419</v>
      </c>
      <c r="H16" s="112">
        <f ca="1"/>
        <v>0.6</v>
      </c>
      <c r="I16" s="112">
        <f ca="1"/>
        <v>0.25</v>
      </c>
      <c r="J16" s="133">
        <f ca="1"/>
        <v>0.91950746539077732</v>
      </c>
      <c r="K16" s="96">
        <f ca="1"/>
        <v>25.32</v>
      </c>
      <c r="L16" s="134">
        <f ca="1"/>
        <v>3.6315460718435125E-2</v>
      </c>
    </row>
    <row r="17" spans="2:12">
      <c r="B17" t="str">
        <f ca="1"/>
        <v>Residential Building - high density</v>
      </c>
      <c r="C17" s="33" t="str">
        <f ca="1"/>
        <v>Roofing</v>
      </c>
      <c r="D17" s="43">
        <f ca="1"/>
        <v>46082</v>
      </c>
      <c r="E17" s="138">
        <f ca="1"/>
        <v>633</v>
      </c>
      <c r="F17" s="112">
        <f ca="1"/>
        <v>8.5000000000000006E-2</v>
      </c>
      <c r="G17" s="112">
        <f ca="1"/>
        <v>2.4772729573316262E-4</v>
      </c>
      <c r="H17" s="112">
        <f ca="1"/>
        <v>0.6</v>
      </c>
      <c r="I17" s="112">
        <f ca="1"/>
        <v>0.25</v>
      </c>
      <c r="J17" s="133">
        <f ca="1"/>
        <v>1.9993450720384226E-3</v>
      </c>
      <c r="K17" s="96">
        <f ca="1"/>
        <v>53.805000000000007</v>
      </c>
      <c r="L17" s="134">
        <f ca="1"/>
        <v>3.7159094359974398E-5</v>
      </c>
    </row>
    <row r="18" spans="2:12">
      <c r="B18" t="str">
        <f ca="1"/>
        <v>Residential Building - high density</v>
      </c>
      <c r="C18" s="33" t="str">
        <f ca="1"/>
        <v>Interior</v>
      </c>
      <c r="D18" s="43">
        <f ca="1"/>
        <v>46082</v>
      </c>
      <c r="E18" s="138">
        <f ca="1"/>
        <v>633</v>
      </c>
      <c r="F18" s="112">
        <f ca="1"/>
        <v>0.05</v>
      </c>
      <c r="G18" s="112">
        <f ca="1"/>
        <v>0.54050345117059384</v>
      </c>
      <c r="H18" s="112">
        <f ca="1"/>
        <v>0.6</v>
      </c>
      <c r="I18" s="112">
        <f ca="1"/>
        <v>0.25</v>
      </c>
      <c r="J18" s="133">
        <f ca="1"/>
        <v>2.5660401344323942</v>
      </c>
      <c r="K18" s="96">
        <f ca="1"/>
        <v>31.650000000000002</v>
      </c>
      <c r="L18" s="134">
        <f ca="1"/>
        <v>8.1075517675589071E-2</v>
      </c>
    </row>
    <row r="19" spans="2:12">
      <c r="B19" t="str">
        <f ca="1"/>
        <v>Residential Building - high density</v>
      </c>
      <c r="C19" s="33" t="str">
        <f ca="1"/>
        <v>Polyethylene pipes</v>
      </c>
      <c r="D19" s="43">
        <f ca="1"/>
        <v>46082</v>
      </c>
      <c r="E19" s="138">
        <f ca="1"/>
        <v>633</v>
      </c>
      <c r="F19" s="112">
        <f ca="1"/>
        <v>5.0000000000000001E-3</v>
      </c>
      <c r="G19" s="112">
        <f ca="1"/>
        <v>0.12828361767948987</v>
      </c>
      <c r="H19" s="112">
        <f ca="1"/>
        <v>0.6</v>
      </c>
      <c r="I19" s="112">
        <f ca="1"/>
        <v>0.25</v>
      </c>
      <c r="J19" s="133">
        <f ca="1"/>
        <v>6.0902647493337812E-2</v>
      </c>
      <c r="K19" s="96">
        <f ca="1"/>
        <v>3.165</v>
      </c>
      <c r="L19" s="134">
        <f ca="1"/>
        <v>1.9242542651923478E-2</v>
      </c>
    </row>
    <row r="20" spans="2:12">
      <c r="B20" t="str">
        <f ca="1"/>
        <v>Residential Building - high density</v>
      </c>
      <c r="C20" s="33" t="str">
        <f ca="1"/>
        <v>Plant and equipment</v>
      </c>
      <c r="D20" s="43">
        <f ca="1"/>
        <v>46082</v>
      </c>
      <c r="E20" s="138">
        <f ca="1"/>
        <v>633</v>
      </c>
      <c r="F20" s="112">
        <f ca="1"/>
        <v>6.5000000000000002E-2</v>
      </c>
      <c r="G20" s="112">
        <f ca="1"/>
        <v>0.31546495432215926</v>
      </c>
      <c r="H20" s="112">
        <f ca="1"/>
        <v>0.8</v>
      </c>
      <c r="I20" s="112">
        <f ca="1"/>
        <v>0.25</v>
      </c>
      <c r="J20" s="133">
        <f ca="1"/>
        <v>2.5959611091170487</v>
      </c>
      <c r="K20" s="96">
        <f ca="1"/>
        <v>41.145000000000003</v>
      </c>
      <c r="L20" s="134">
        <f ca="1"/>
        <v>6.3092990864431847E-2</v>
      </c>
    </row>
    <row r="21" spans="2:12">
      <c r="B21" t="str">
        <f ca="1"/>
        <v>Residential Building - high density</v>
      </c>
      <c r="C21" s="33" t="str">
        <f ca="1"/>
        <v>Electrical equipment</v>
      </c>
      <c r="D21" s="43">
        <f ca="1"/>
        <v>46082</v>
      </c>
      <c r="E21" s="138">
        <f ca="1"/>
        <v>633</v>
      </c>
      <c r="F21" s="112">
        <f ca="1"/>
        <v>0.03</v>
      </c>
      <c r="G21" s="112">
        <f ca="1"/>
        <v>0.48556692694591386</v>
      </c>
      <c r="H21" s="112">
        <f ca="1"/>
        <v>0.8</v>
      </c>
      <c r="I21" s="112">
        <f ca="1"/>
        <v>0.25</v>
      </c>
      <c r="J21" s="133">
        <f ca="1"/>
        <v>1.8441831885405808</v>
      </c>
      <c r="K21" s="96">
        <f ca="1"/>
        <v>18.989999999999998</v>
      </c>
      <c r="L21" s="134">
        <f ca="1"/>
        <v>9.711338538918278E-2</v>
      </c>
    </row>
    <row r="22" spans="2:12">
      <c r="B22" t="str">
        <f ca="1"/>
        <v>Residential Building - high density</v>
      </c>
      <c r="C22" s="33" t="str">
        <f ca="1"/>
        <v>Diesel</v>
      </c>
      <c r="D22" s="43">
        <f ca="1"/>
        <v>46082</v>
      </c>
      <c r="E22" s="138">
        <f ca="1"/>
        <v>633</v>
      </c>
      <c r="F22" s="112">
        <f ca="1"/>
        <v>0.05</v>
      </c>
      <c r="G22" s="112">
        <f ca="1"/>
        <v>0.45356302165418505</v>
      </c>
      <c r="H22" s="112">
        <f ca="1"/>
        <v>0.6</v>
      </c>
      <c r="I22" s="112">
        <f ca="1"/>
        <v>0.1</v>
      </c>
      <c r="J22" s="133">
        <f ca="1"/>
        <v>0.86131617812129757</v>
      </c>
      <c r="K22" s="96">
        <f ca="1"/>
        <v>31.650000000000002</v>
      </c>
      <c r="L22" s="134">
        <f ca="1"/>
        <v>2.7213781299251106E-2</v>
      </c>
    </row>
    <row r="23" spans="2:12">
      <c r="B23" t="str">
        <f ca="1"/>
        <v>Residential Building - high density</v>
      </c>
      <c r="C23" s="33" t="str">
        <f ca="1"/>
        <v>Labour</v>
      </c>
      <c r="D23" s="43">
        <f ca="1"/>
        <v>46447</v>
      </c>
      <c r="E23" s="138">
        <f ca="1"/>
        <v>702</v>
      </c>
      <c r="F23" s="112">
        <f ca="1"/>
        <v>0.39500000000000002</v>
      </c>
      <c r="G23" s="112" t="str">
        <f ca="1"/>
        <v>N/A</v>
      </c>
      <c r="H23" s="112" t="str">
        <f ca="1"/>
        <v>N/A</v>
      </c>
      <c r="I23" s="112" t="str">
        <f ca="1"/>
        <v>N/A</v>
      </c>
      <c r="J23" s="133">
        <f ca="1"/>
        <v>0</v>
      </c>
      <c r="K23" s="96">
        <f ca="1"/>
        <v>277.29000000000002</v>
      </c>
      <c r="L23" s="134">
        <f ca="1"/>
        <v>0</v>
      </c>
    </row>
    <row r="24" spans="2:12">
      <c r="B24" t="str">
        <f ca="1"/>
        <v>Residential Building - high density</v>
      </c>
      <c r="C24" s="33" t="str">
        <f ca="1"/>
        <v>Engineering design</v>
      </c>
      <c r="D24" s="43">
        <f ca="1"/>
        <v>46447</v>
      </c>
      <c r="E24" s="138">
        <f ca="1"/>
        <v>702</v>
      </c>
      <c r="F24" s="112">
        <f ca="1"/>
        <v>0.02</v>
      </c>
      <c r="G24" s="112" t="str">
        <f ca="1"/>
        <v>N/A</v>
      </c>
      <c r="H24" s="112" t="str">
        <f ca="1"/>
        <v>N/A</v>
      </c>
      <c r="I24" s="112" t="str">
        <f ca="1"/>
        <v>N/A</v>
      </c>
      <c r="J24" s="133">
        <f ca="1"/>
        <v>0</v>
      </c>
      <c r="K24" s="96">
        <f ca="1"/>
        <v>14.040000000000001</v>
      </c>
      <c r="L24" s="134">
        <f ca="1"/>
        <v>0</v>
      </c>
    </row>
    <row r="25" spans="2:12">
      <c r="B25" t="str">
        <f ca="1"/>
        <v>Residential Building - high density</v>
      </c>
      <c r="C25" s="33" t="str">
        <f ca="1"/>
        <v>Reinforcing bar</v>
      </c>
      <c r="D25" s="43">
        <f ca="1"/>
        <v>46447</v>
      </c>
      <c r="E25" s="138">
        <f ca="1"/>
        <v>702</v>
      </c>
      <c r="F25" s="112">
        <f ca="1"/>
        <v>0.08</v>
      </c>
      <c r="G25" s="112">
        <f ca="1"/>
        <v>8.4066217963502693E-2</v>
      </c>
      <c r="H25" s="112">
        <f ca="1"/>
        <v>0.6</v>
      </c>
      <c r="I25" s="112">
        <f ca="1"/>
        <v>0.25</v>
      </c>
      <c r="J25" s="133">
        <f ca="1"/>
        <v>0.70817382012454666</v>
      </c>
      <c r="K25" s="96">
        <f ca="1"/>
        <v>56.160000000000004</v>
      </c>
      <c r="L25" s="134">
        <f ca="1"/>
        <v>1.2609932694525403E-2</v>
      </c>
    </row>
    <row r="26" spans="2:12">
      <c r="B26" t="str">
        <f ca="1"/>
        <v>Residential Building - high density</v>
      </c>
      <c r="C26" s="33" t="str">
        <f ca="1"/>
        <v>Structural steel</v>
      </c>
      <c r="D26" s="43">
        <f ca="1"/>
        <v>46447</v>
      </c>
      <c r="E26" s="138">
        <f ca="1"/>
        <v>702</v>
      </c>
      <c r="F26" s="112">
        <f ca="1"/>
        <v>0.04</v>
      </c>
      <c r="G26" s="112">
        <f ca="1"/>
        <v>0.52500514810102583</v>
      </c>
      <c r="H26" s="112">
        <f ca="1"/>
        <v>0.6</v>
      </c>
      <c r="I26" s="112">
        <f ca="1"/>
        <v>0.25</v>
      </c>
      <c r="J26" s="133">
        <f ca="1"/>
        <v>2.2113216838015206</v>
      </c>
      <c r="K26" s="96">
        <f ca="1"/>
        <v>28.080000000000002</v>
      </c>
      <c r="L26" s="134">
        <f ca="1"/>
        <v>7.8750772215153864E-2</v>
      </c>
    </row>
    <row r="27" spans="2:12">
      <c r="B27" t="str">
        <f ca="1"/>
        <v>Residential Building - high density</v>
      </c>
      <c r="C27" s="33" t="str">
        <f ca="1"/>
        <v>Concrete</v>
      </c>
      <c r="D27" s="43">
        <f ca="1"/>
        <v>46447</v>
      </c>
      <c r="E27" s="138">
        <f ca="1"/>
        <v>702</v>
      </c>
      <c r="F27" s="112">
        <f ca="1"/>
        <v>0.1</v>
      </c>
      <c r="G27" s="112">
        <f ca="1"/>
        <v>1.1472584695084088E-2</v>
      </c>
      <c r="H27" s="112">
        <f ca="1"/>
        <v>0.6</v>
      </c>
      <c r="I27" s="112">
        <f ca="1"/>
        <v>0.25</v>
      </c>
      <c r="J27" s="133">
        <f ca="1"/>
        <v>0.12080631683923546</v>
      </c>
      <c r="K27" s="96">
        <f ca="1"/>
        <v>70.2</v>
      </c>
      <c r="L27" s="134">
        <f ca="1"/>
        <v>1.7208877042626132E-3</v>
      </c>
    </row>
    <row r="28" spans="2:12">
      <c r="B28" t="str">
        <f ca="1"/>
        <v>Residential Building - high density</v>
      </c>
      <c r="C28" s="33" t="str">
        <f ca="1"/>
        <v>Masonry</v>
      </c>
      <c r="D28" s="43">
        <f ca="1"/>
        <v>46447</v>
      </c>
      <c r="E28" s="138">
        <f ca="1"/>
        <v>702</v>
      </c>
      <c r="F28" s="112">
        <f ca="1"/>
        <v>0.01</v>
      </c>
      <c r="G28" s="112">
        <f ca="1"/>
        <v>9.8410961434768088E-2</v>
      </c>
      <c r="H28" s="112">
        <f ca="1"/>
        <v>0.6</v>
      </c>
      <c r="I28" s="112">
        <f ca="1"/>
        <v>0.25</v>
      </c>
      <c r="J28" s="133">
        <f ca="1"/>
        <v>0.10362674239081081</v>
      </c>
      <c r="K28" s="96">
        <f ca="1"/>
        <v>7.0200000000000005</v>
      </c>
      <c r="L28" s="134">
        <f ca="1"/>
        <v>1.4761644215215215E-2</v>
      </c>
    </row>
    <row r="29" spans="2:12">
      <c r="B29" t="str">
        <f ca="1"/>
        <v>Residential Building - high density</v>
      </c>
      <c r="C29" s="33" t="str">
        <f ca="1"/>
        <v>Wood</v>
      </c>
      <c r="D29" s="43">
        <f ca="1"/>
        <v>46447</v>
      </c>
      <c r="E29" s="138">
        <f ca="1"/>
        <v>702</v>
      </c>
      <c r="F29" s="112">
        <f ca="1"/>
        <v>0.01</v>
      </c>
      <c r="G29" s="112">
        <f ca="1"/>
        <v>0.13840817436677436</v>
      </c>
      <c r="H29" s="112">
        <f ca="1"/>
        <v>0.6</v>
      </c>
      <c r="I29" s="112">
        <f ca="1"/>
        <v>0.25</v>
      </c>
      <c r="J29" s="133">
        <f ca="1"/>
        <v>0.1457438076082134</v>
      </c>
      <c r="K29" s="96">
        <f ca="1"/>
        <v>7.0200000000000005</v>
      </c>
      <c r="L29" s="134">
        <f ca="1"/>
        <v>2.0761226155016153E-2</v>
      </c>
    </row>
    <row r="30" spans="2:12">
      <c r="B30" t="str">
        <f ca="1"/>
        <v>Residential Building - high density</v>
      </c>
      <c r="C30" s="33" t="str">
        <f ca="1"/>
        <v>Electrical wire</v>
      </c>
      <c r="D30" s="43">
        <f ca="1"/>
        <v>46447</v>
      </c>
      <c r="E30" s="138">
        <f ca="1"/>
        <v>702</v>
      </c>
      <c r="F30" s="112">
        <f ca="1"/>
        <v>0.02</v>
      </c>
      <c r="G30" s="112">
        <f ca="1"/>
        <v>0.80654510583379313</v>
      </c>
      <c r="H30" s="112">
        <f ca="1"/>
        <v>0.6</v>
      </c>
      <c r="I30" s="112">
        <f ca="1"/>
        <v>0.25</v>
      </c>
      <c r="J30" s="133">
        <f ca="1"/>
        <v>1.6985839928859683</v>
      </c>
      <c r="K30" s="96">
        <f ca="1"/>
        <v>14.040000000000001</v>
      </c>
      <c r="L30" s="134">
        <f ca="1"/>
        <v>0.12098176587506895</v>
      </c>
    </row>
    <row r="31" spans="2:12">
      <c r="B31" t="str">
        <f ca="1"/>
        <v>Residential Building - high density</v>
      </c>
      <c r="C31" s="33" t="str">
        <f ca="1"/>
        <v>Glass</v>
      </c>
      <c r="D31" s="43">
        <f ca="1"/>
        <v>46447</v>
      </c>
      <c r="E31" s="138">
        <f ca="1"/>
        <v>702</v>
      </c>
      <c r="F31" s="112">
        <f ca="1"/>
        <v>0.04</v>
      </c>
      <c r="G31" s="112">
        <f ca="1"/>
        <v>0.24210307145623419</v>
      </c>
      <c r="H31" s="112">
        <f ca="1"/>
        <v>0.6</v>
      </c>
      <c r="I31" s="112">
        <f ca="1"/>
        <v>0.25</v>
      </c>
      <c r="J31" s="133">
        <f ca="1"/>
        <v>1.0197381369736584</v>
      </c>
      <c r="K31" s="96">
        <f ca="1"/>
        <v>28.080000000000002</v>
      </c>
      <c r="L31" s="134">
        <f ca="1"/>
        <v>3.6315460718435125E-2</v>
      </c>
    </row>
    <row r="32" spans="2:12">
      <c r="B32" t="str">
        <f ca="1"/>
        <v>Residential Building - high density</v>
      </c>
      <c r="C32" s="33" t="str">
        <f ca="1"/>
        <v>Roofing</v>
      </c>
      <c r="D32" s="43">
        <f ca="1"/>
        <v>46447</v>
      </c>
      <c r="E32" s="138">
        <f ca="1"/>
        <v>702</v>
      </c>
      <c r="F32" s="112">
        <f ca="1"/>
        <v>8.5000000000000006E-2</v>
      </c>
      <c r="G32" s="112">
        <f ca="1"/>
        <v>2.4772729573316262E-4</v>
      </c>
      <c r="H32" s="112">
        <f ca="1"/>
        <v>0.6</v>
      </c>
      <c r="I32" s="112">
        <f ca="1"/>
        <v>0.25</v>
      </c>
      <c r="J32" s="133">
        <f ca="1"/>
        <v>2.217283160459672E-3</v>
      </c>
      <c r="K32" s="96">
        <f ca="1"/>
        <v>59.67</v>
      </c>
      <c r="L32" s="134">
        <f ca="1"/>
        <v>3.7159094359974391E-5</v>
      </c>
    </row>
    <row r="33" spans="2:12">
      <c r="B33" t="str">
        <f ca="1"/>
        <v>Residential Building - high density</v>
      </c>
      <c r="C33" s="33" t="str">
        <f ca="1"/>
        <v>Interior</v>
      </c>
      <c r="D33" s="43">
        <f ca="1"/>
        <v>46447</v>
      </c>
      <c r="E33" s="138">
        <f ca="1"/>
        <v>702</v>
      </c>
      <c r="F33" s="112">
        <f ca="1"/>
        <v>0.05</v>
      </c>
      <c r="G33" s="112">
        <f ca="1"/>
        <v>0.54050345117059384</v>
      </c>
      <c r="H33" s="112">
        <f ca="1"/>
        <v>0.6</v>
      </c>
      <c r="I33" s="112">
        <f ca="1"/>
        <v>0.25</v>
      </c>
      <c r="J33" s="133">
        <f ca="1"/>
        <v>2.8457506704131768</v>
      </c>
      <c r="K33" s="96">
        <f ca="1"/>
        <v>35.1</v>
      </c>
      <c r="L33" s="134">
        <f ca="1"/>
        <v>8.1075517675589084E-2</v>
      </c>
    </row>
    <row r="34" spans="2:12">
      <c r="B34" t="str">
        <f ca="1"/>
        <v>Residential Building - high density</v>
      </c>
      <c r="C34" s="33" t="str">
        <f ca="1"/>
        <v>Polyethylene pipes</v>
      </c>
      <c r="D34" s="43">
        <f ca="1"/>
        <v>46447</v>
      </c>
      <c r="E34" s="138">
        <f ca="1"/>
        <v>702</v>
      </c>
      <c r="F34" s="112">
        <f ca="1"/>
        <v>5.0000000000000001E-3</v>
      </c>
      <c r="G34" s="112">
        <f ca="1"/>
        <v>0.12828361767948987</v>
      </c>
      <c r="H34" s="112">
        <f ca="1"/>
        <v>0.6</v>
      </c>
      <c r="I34" s="112">
        <f ca="1"/>
        <v>0.25</v>
      </c>
      <c r="J34" s="133">
        <f ca="1"/>
        <v>6.7541324708251416E-2</v>
      </c>
      <c r="K34" s="96">
        <f ca="1"/>
        <v>3.5100000000000002</v>
      </c>
      <c r="L34" s="134">
        <f ca="1"/>
        <v>1.9242542651923478E-2</v>
      </c>
    </row>
    <row r="35" spans="2:12">
      <c r="B35" t="str">
        <f ca="1"/>
        <v>Residential Building - high density</v>
      </c>
      <c r="C35" s="33" t="str">
        <f ca="1"/>
        <v>Plant and equipment</v>
      </c>
      <c r="D35" s="43">
        <f ca="1"/>
        <v>46447</v>
      </c>
      <c r="E35" s="138">
        <f ca="1"/>
        <v>702</v>
      </c>
      <c r="F35" s="112">
        <f ca="1"/>
        <v>6.5000000000000002E-2</v>
      </c>
      <c r="G35" s="112">
        <f ca="1"/>
        <v>0.31546495432215926</v>
      </c>
      <c r="H35" s="112">
        <f ca="1"/>
        <v>0.8</v>
      </c>
      <c r="I35" s="112">
        <f ca="1"/>
        <v>0.25</v>
      </c>
      <c r="J35" s="133">
        <f ca="1"/>
        <v>2.8789331731440257</v>
      </c>
      <c r="K35" s="96">
        <f ca="1"/>
        <v>45.63</v>
      </c>
      <c r="L35" s="134">
        <f ca="1"/>
        <v>6.3092990864431861E-2</v>
      </c>
    </row>
    <row r="36" spans="2:12">
      <c r="B36" t="str">
        <f ca="1"/>
        <v>Residential Building - high density</v>
      </c>
      <c r="C36" s="33" t="str">
        <f ca="1"/>
        <v>Electrical equipment</v>
      </c>
      <c r="D36" s="43">
        <f ca="1"/>
        <v>46447</v>
      </c>
      <c r="E36" s="138">
        <f ca="1"/>
        <v>702</v>
      </c>
      <c r="F36" s="112">
        <f ca="1"/>
        <v>0.03</v>
      </c>
      <c r="G36" s="112">
        <f ca="1"/>
        <v>0.48556692694591386</v>
      </c>
      <c r="H36" s="112">
        <f ca="1"/>
        <v>0.8</v>
      </c>
      <c r="I36" s="112">
        <f ca="1"/>
        <v>0.25</v>
      </c>
      <c r="J36" s="133">
        <f ca="1"/>
        <v>2.0452078962961893</v>
      </c>
      <c r="K36" s="96">
        <f ca="1"/>
        <v>21.06</v>
      </c>
      <c r="L36" s="134">
        <f ca="1"/>
        <v>9.711338538918278E-2</v>
      </c>
    </row>
    <row r="37" spans="2:12">
      <c r="B37" t="str">
        <f ca="1"/>
        <v>Residential Building - high density</v>
      </c>
      <c r="C37" s="33" t="str">
        <f ca="1"/>
        <v>Diesel</v>
      </c>
      <c r="D37" s="43">
        <f ca="1"/>
        <v>46447</v>
      </c>
      <c r="E37" s="138">
        <f ca="1"/>
        <v>702</v>
      </c>
      <c r="F37" s="112">
        <f ca="1"/>
        <v>0.05</v>
      </c>
      <c r="G37" s="112">
        <f ca="1"/>
        <v>0.45356302165418505</v>
      </c>
      <c r="H37" s="112">
        <f ca="1"/>
        <v>0.6</v>
      </c>
      <c r="I37" s="112">
        <f ca="1"/>
        <v>0.1</v>
      </c>
      <c r="J37" s="133">
        <f ca="1"/>
        <v>0.95520372360371375</v>
      </c>
      <c r="K37" s="96">
        <f ca="1"/>
        <v>35.1</v>
      </c>
      <c r="L37" s="134">
        <f ca="1"/>
        <v>2.7213781299251102E-2</v>
      </c>
    </row>
    <row r="38" spans="2:12">
      <c r="B38" t="str">
        <f ca="1"/>
        <v>Residential Building - medium density</v>
      </c>
      <c r="C38" s="33" t="str">
        <f ca="1"/>
        <v>Labour</v>
      </c>
      <c r="D38" s="43">
        <f ca="1"/>
        <v>46082</v>
      </c>
      <c r="E38" s="138">
        <f ca="1"/>
        <v>136</v>
      </c>
      <c r="F38" s="112">
        <f ca="1"/>
        <v>0.41499999999999998</v>
      </c>
      <c r="G38" s="112" t="str">
        <f ca="1"/>
        <v>N/A</v>
      </c>
      <c r="H38" s="112" t="str">
        <f ca="1"/>
        <v>N/A</v>
      </c>
      <c r="I38" s="112" t="str">
        <f ca="1"/>
        <v>N/A</v>
      </c>
      <c r="J38" s="133">
        <f ca="1"/>
        <v>0</v>
      </c>
      <c r="K38" s="96">
        <f ca="1"/>
        <v>56.44</v>
      </c>
      <c r="L38" s="134">
        <f ca="1"/>
        <v>0</v>
      </c>
    </row>
    <row r="39" spans="2:12">
      <c r="B39" t="str">
        <f ca="1"/>
        <v>Residential Building - medium density</v>
      </c>
      <c r="C39" s="33" t="str">
        <f ca="1"/>
        <v>Reinforcing bar</v>
      </c>
      <c r="D39" s="43">
        <f ca="1"/>
        <v>46082</v>
      </c>
      <c r="E39" s="138">
        <f ca="1"/>
        <v>136</v>
      </c>
      <c r="F39" s="112">
        <f ca="1"/>
        <v>0.03</v>
      </c>
      <c r="G39" s="112">
        <f ca="1"/>
        <v>8.4066217963502693E-2</v>
      </c>
      <c r="H39" s="112">
        <f ca="1"/>
        <v>0.6</v>
      </c>
      <c r="I39" s="112">
        <f ca="1"/>
        <v>0.25</v>
      </c>
      <c r="J39" s="133">
        <f ca="1"/>
        <v>5.1448525393663645E-2</v>
      </c>
      <c r="K39" s="96">
        <f ca="1"/>
        <v>4.08</v>
      </c>
      <c r="L39" s="134">
        <f ca="1"/>
        <v>1.2609932694525403E-2</v>
      </c>
    </row>
    <row r="40" spans="2:12">
      <c r="B40" t="str">
        <f ca="1"/>
        <v>Residential Building - medium density</v>
      </c>
      <c r="C40" s="33" t="str">
        <f ca="1"/>
        <v>Structural steel</v>
      </c>
      <c r="D40" s="43">
        <f ca="1"/>
        <v>46082</v>
      </c>
      <c r="E40" s="138">
        <f ca="1"/>
        <v>136</v>
      </c>
      <c r="F40" s="112">
        <f ca="1"/>
        <v>0.02</v>
      </c>
      <c r="G40" s="112">
        <f ca="1"/>
        <v>0.52500514810102583</v>
      </c>
      <c r="H40" s="112">
        <f ca="1"/>
        <v>0.6</v>
      </c>
      <c r="I40" s="112">
        <f ca="1"/>
        <v>0.25</v>
      </c>
      <c r="J40" s="133">
        <f ca="1"/>
        <v>0.21420210042521853</v>
      </c>
      <c r="K40" s="96">
        <f ca="1"/>
        <v>2.72</v>
      </c>
      <c r="L40" s="134">
        <f ca="1"/>
        <v>7.8750772215153864E-2</v>
      </c>
    </row>
    <row r="41" spans="2:12">
      <c r="B41" t="str">
        <f ca="1"/>
        <v>Residential Building - medium density</v>
      </c>
      <c r="C41" s="33" t="str">
        <f ca="1"/>
        <v>Concrete</v>
      </c>
      <c r="D41" s="43">
        <f ca="1"/>
        <v>46082</v>
      </c>
      <c r="E41" s="138">
        <f ca="1"/>
        <v>136</v>
      </c>
      <c r="F41" s="112">
        <f ca="1"/>
        <v>0.04</v>
      </c>
      <c r="G41" s="112">
        <f ca="1"/>
        <v>1.1472584695084088E-2</v>
      </c>
      <c r="H41" s="112">
        <f ca="1"/>
        <v>0.6</v>
      </c>
      <c r="I41" s="112">
        <f ca="1"/>
        <v>0.25</v>
      </c>
      <c r="J41" s="133">
        <f ca="1"/>
        <v>9.3616291111886154E-3</v>
      </c>
      <c r="K41" s="96">
        <f ca="1"/>
        <v>5.44</v>
      </c>
      <c r="L41" s="134">
        <f ca="1"/>
        <v>1.720887704262613E-3</v>
      </c>
    </row>
    <row r="42" spans="2:12">
      <c r="B42" t="str">
        <f ca="1"/>
        <v>Residential Building - medium density</v>
      </c>
      <c r="C42" s="33" t="str">
        <f ca="1"/>
        <v>Masonry</v>
      </c>
      <c r="D42" s="43">
        <f ca="1"/>
        <v>46082</v>
      </c>
      <c r="E42" s="138">
        <f ca="1"/>
        <v>136</v>
      </c>
      <c r="F42" s="112">
        <f ca="1"/>
        <v>0.02</v>
      </c>
      <c r="G42" s="112">
        <f ca="1"/>
        <v>9.8410961434768088E-2</v>
      </c>
      <c r="H42" s="112">
        <f ca="1"/>
        <v>0.6</v>
      </c>
      <c r="I42" s="112">
        <f ca="1"/>
        <v>0.25</v>
      </c>
      <c r="J42" s="133">
        <f ca="1"/>
        <v>4.015167226538538E-2</v>
      </c>
      <c r="K42" s="96">
        <f ca="1"/>
        <v>2.72</v>
      </c>
      <c r="L42" s="134">
        <f ca="1"/>
        <v>1.4761644215215213E-2</v>
      </c>
    </row>
    <row r="43" spans="2:12">
      <c r="B43" t="str">
        <f ca="1"/>
        <v>Residential Building - medium density</v>
      </c>
      <c r="C43" s="33" t="str">
        <f ca="1"/>
        <v>Wood</v>
      </c>
      <c r="D43" s="43">
        <f ca="1"/>
        <v>46082</v>
      </c>
      <c r="E43" s="138">
        <f ca="1"/>
        <v>136</v>
      </c>
      <c r="F43" s="112">
        <f ca="1"/>
        <v>0.18</v>
      </c>
      <c r="G43" s="112">
        <f ca="1"/>
        <v>0.13840817436677436</v>
      </c>
      <c r="H43" s="112">
        <f ca="1"/>
        <v>0.6</v>
      </c>
      <c r="I43" s="112">
        <f ca="1"/>
        <v>0.25</v>
      </c>
      <c r="J43" s="133">
        <f ca="1"/>
        <v>0.50823481627479539</v>
      </c>
      <c r="K43" s="96">
        <f ca="1"/>
        <v>24.48</v>
      </c>
      <c r="L43" s="134">
        <f ca="1"/>
        <v>2.076122615501615E-2</v>
      </c>
    </row>
    <row r="44" spans="2:12">
      <c r="B44" t="str">
        <f ca="1"/>
        <v>Residential Building - medium density</v>
      </c>
      <c r="C44" s="33" t="str">
        <f ca="1"/>
        <v>Electrical wire</v>
      </c>
      <c r="D44" s="43">
        <f ca="1"/>
        <v>46082</v>
      </c>
      <c r="E44" s="138">
        <f ca="1"/>
        <v>136</v>
      </c>
      <c r="F44" s="112">
        <f ca="1"/>
        <v>0.02</v>
      </c>
      <c r="G44" s="112">
        <f ca="1"/>
        <v>0.80654510583379313</v>
      </c>
      <c r="H44" s="112">
        <f ca="1"/>
        <v>0.6</v>
      </c>
      <c r="I44" s="112">
        <f ca="1"/>
        <v>0.25</v>
      </c>
      <c r="J44" s="133">
        <f ca="1"/>
        <v>0.3290704031801876</v>
      </c>
      <c r="K44" s="96">
        <f ca="1"/>
        <v>2.72</v>
      </c>
      <c r="L44" s="134">
        <f ca="1"/>
        <v>0.12098176587506897</v>
      </c>
    </row>
    <row r="45" spans="2:12">
      <c r="B45" t="str">
        <f ca="1"/>
        <v>Residential Building - medium density</v>
      </c>
      <c r="C45" s="33" t="str">
        <f ca="1"/>
        <v>Glass</v>
      </c>
      <c r="D45" s="43">
        <f ca="1"/>
        <v>46082</v>
      </c>
      <c r="E45" s="138">
        <f ca="1"/>
        <v>136</v>
      </c>
      <c r="F45" s="112">
        <f ca="1"/>
        <v>0.05</v>
      </c>
      <c r="G45" s="112">
        <f ca="1"/>
        <v>0.24210307145623419</v>
      </c>
      <c r="H45" s="112">
        <f ca="1"/>
        <v>0.6</v>
      </c>
      <c r="I45" s="112">
        <f ca="1"/>
        <v>0.25</v>
      </c>
      <c r="J45" s="133">
        <f ca="1"/>
        <v>0.24694513288535888</v>
      </c>
      <c r="K45" s="96">
        <f ca="1"/>
        <v>6.8000000000000007</v>
      </c>
      <c r="L45" s="134">
        <f ca="1"/>
        <v>3.6315460718435125E-2</v>
      </c>
    </row>
    <row r="46" spans="2:12">
      <c r="B46" t="str">
        <f ca="1"/>
        <v>Residential Building - medium density</v>
      </c>
      <c r="C46" s="33" t="str">
        <f ca="1"/>
        <v>Roofing</v>
      </c>
      <c r="D46" s="43">
        <f ca="1"/>
        <v>46082</v>
      </c>
      <c r="E46" s="138">
        <f ca="1"/>
        <v>136</v>
      </c>
      <c r="F46" s="112">
        <f ca="1"/>
        <v>7.0000000000000007E-2</v>
      </c>
      <c r="G46" s="112">
        <f ca="1"/>
        <v>2.4772729573316262E-4</v>
      </c>
      <c r="H46" s="112">
        <f ca="1"/>
        <v>0.6</v>
      </c>
      <c r="I46" s="112">
        <f ca="1"/>
        <v>0.25</v>
      </c>
      <c r="J46" s="133">
        <f ca="1"/>
        <v>3.5375457830695627E-4</v>
      </c>
      <c r="K46" s="96">
        <f ca="1"/>
        <v>9.5200000000000014</v>
      </c>
      <c r="L46" s="134">
        <f ca="1"/>
        <v>3.7159094359974391E-5</v>
      </c>
    </row>
    <row r="47" spans="2:12">
      <c r="B47" t="str">
        <f ca="1"/>
        <v>Residential Building - medium density</v>
      </c>
      <c r="C47" s="33" t="str">
        <f ca="1"/>
        <v>Interior</v>
      </c>
      <c r="D47" s="43">
        <f ca="1"/>
        <v>46082</v>
      </c>
      <c r="E47" s="138">
        <f ca="1"/>
        <v>136</v>
      </c>
      <c r="F47" s="112">
        <f ca="1"/>
        <v>0.04</v>
      </c>
      <c r="G47" s="112">
        <f ca="1"/>
        <v>0.54050345117059384</v>
      </c>
      <c r="H47" s="112">
        <f ca="1"/>
        <v>0.6</v>
      </c>
      <c r="I47" s="112">
        <f ca="1"/>
        <v>0.25</v>
      </c>
      <c r="J47" s="133">
        <f ca="1"/>
        <v>0.44105081615520458</v>
      </c>
      <c r="K47" s="96">
        <f ca="1"/>
        <v>5.44</v>
      </c>
      <c r="L47" s="134">
        <f ca="1"/>
        <v>8.1075517675589071E-2</v>
      </c>
    </row>
    <row r="48" spans="2:12">
      <c r="B48" t="str">
        <f ca="1"/>
        <v>Residential Building - medium density</v>
      </c>
      <c r="C48" s="33" t="str">
        <f ca="1"/>
        <v>Polyethylene pipes</v>
      </c>
      <c r="D48" s="43">
        <f ca="1"/>
        <v>46082</v>
      </c>
      <c r="E48" s="138">
        <f ca="1"/>
        <v>136</v>
      </c>
      <c r="F48" s="112">
        <f ca="1"/>
        <v>5.0000000000000001E-3</v>
      </c>
      <c r="G48" s="112">
        <f ca="1"/>
        <v>0.12828361767948987</v>
      </c>
      <c r="H48" s="112">
        <f ca="1"/>
        <v>0.6</v>
      </c>
      <c r="I48" s="112">
        <f ca="1"/>
        <v>0.25</v>
      </c>
      <c r="J48" s="133">
        <f ca="1"/>
        <v>1.3084929003307967E-2</v>
      </c>
      <c r="K48" s="96">
        <f ca="1"/>
        <v>0.68</v>
      </c>
      <c r="L48" s="134">
        <f ca="1"/>
        <v>1.9242542651923478E-2</v>
      </c>
    </row>
    <row r="49" spans="2:12">
      <c r="B49" t="str">
        <f ca="1"/>
        <v>Residential Building - medium density</v>
      </c>
      <c r="C49" s="33" t="str">
        <f ca="1"/>
        <v>Plant and equipment</v>
      </c>
      <c r="D49" s="43">
        <f ca="1"/>
        <v>46082</v>
      </c>
      <c r="E49" s="138">
        <f ca="1"/>
        <v>136</v>
      </c>
      <c r="F49" s="112">
        <f ca="1"/>
        <v>0.04</v>
      </c>
      <c r="G49" s="112">
        <f ca="1"/>
        <v>0.31546495432215926</v>
      </c>
      <c r="H49" s="112">
        <f ca="1"/>
        <v>0.8</v>
      </c>
      <c r="I49" s="112">
        <f ca="1"/>
        <v>0.25</v>
      </c>
      <c r="J49" s="133">
        <f ca="1"/>
        <v>0.34322587030250928</v>
      </c>
      <c r="K49" s="96">
        <f ca="1"/>
        <v>5.44</v>
      </c>
      <c r="L49" s="134">
        <f ca="1"/>
        <v>6.3092990864431847E-2</v>
      </c>
    </row>
    <row r="50" spans="2:12">
      <c r="B50" t="str">
        <f ca="1"/>
        <v>Residential Building - medium density</v>
      </c>
      <c r="C50" s="33" t="str">
        <f ca="1"/>
        <v>Electrical equipment</v>
      </c>
      <c r="D50" s="43">
        <f ca="1"/>
        <v>46082</v>
      </c>
      <c r="E50" s="138">
        <f ca="1"/>
        <v>136</v>
      </c>
      <c r="F50" s="112">
        <f ca="1"/>
        <v>0.02</v>
      </c>
      <c r="G50" s="112">
        <f ca="1"/>
        <v>0.48556692694591386</v>
      </c>
      <c r="H50" s="112">
        <f ca="1"/>
        <v>0.8</v>
      </c>
      <c r="I50" s="112">
        <f ca="1"/>
        <v>0.25</v>
      </c>
      <c r="J50" s="133">
        <f ca="1"/>
        <v>0.26414840825857716</v>
      </c>
      <c r="K50" s="96">
        <f ca="1"/>
        <v>2.72</v>
      </c>
      <c r="L50" s="134">
        <f ca="1"/>
        <v>9.7113385389182766E-2</v>
      </c>
    </row>
    <row r="51" spans="2:12">
      <c r="B51" t="str">
        <f ca="1"/>
        <v>Residential Building - medium density</v>
      </c>
      <c r="C51" s="33" t="str">
        <f ca="1"/>
        <v>Diesel</v>
      </c>
      <c r="D51" s="43">
        <f ca="1"/>
        <v>46082</v>
      </c>
      <c r="E51" s="138">
        <f ca="1"/>
        <v>136</v>
      </c>
      <c r="F51" s="112">
        <f ca="1"/>
        <v>0.05</v>
      </c>
      <c r="G51" s="112">
        <f ca="1"/>
        <v>0.45356302165418505</v>
      </c>
      <c r="H51" s="112">
        <f ca="1"/>
        <v>0.6</v>
      </c>
      <c r="I51" s="112">
        <f ca="1"/>
        <v>0.1</v>
      </c>
      <c r="J51" s="133">
        <f ca="1"/>
        <v>0.18505371283490751</v>
      </c>
      <c r="K51" s="96">
        <f ca="1"/>
        <v>6.8000000000000007</v>
      </c>
      <c r="L51" s="134">
        <f ca="1"/>
        <v>2.7213781299251102E-2</v>
      </c>
    </row>
    <row r="52" spans="2:12">
      <c r="B52" t="str">
        <f ca="1"/>
        <v>Residential Building - medium density</v>
      </c>
      <c r="C52" s="33" t="str">
        <f ca="1"/>
        <v>Labour</v>
      </c>
      <c r="D52" s="43">
        <f ca="1"/>
        <v>46447</v>
      </c>
      <c r="E52" s="138">
        <f ca="1"/>
        <v>151</v>
      </c>
      <c r="F52" s="112">
        <f ca="1"/>
        <v>0.41499999999999998</v>
      </c>
      <c r="G52" s="112" t="str">
        <f ca="1"/>
        <v>N/A</v>
      </c>
      <c r="H52" s="112" t="str">
        <f ca="1"/>
        <v>N/A</v>
      </c>
      <c r="I52" s="112" t="str">
        <f ca="1"/>
        <v>N/A</v>
      </c>
      <c r="J52" s="133">
        <f ca="1"/>
        <v>0</v>
      </c>
      <c r="K52" s="96">
        <f ca="1"/>
        <v>62.664999999999999</v>
      </c>
      <c r="L52" s="134">
        <f ca="1"/>
        <v>0</v>
      </c>
    </row>
    <row r="53" spans="2:12">
      <c r="B53" t="str">
        <f ca="1"/>
        <v>Residential Building - medium density</v>
      </c>
      <c r="C53" s="33" t="str">
        <f ca="1"/>
        <v>Reinforcing bar</v>
      </c>
      <c r="D53" s="43">
        <f ca="1"/>
        <v>46447</v>
      </c>
      <c r="E53" s="138">
        <f ca="1"/>
        <v>151</v>
      </c>
      <c r="F53" s="112">
        <f ca="1"/>
        <v>0.03</v>
      </c>
      <c r="G53" s="112">
        <f ca="1"/>
        <v>8.4066217963502693E-2</v>
      </c>
      <c r="H53" s="112">
        <f ca="1"/>
        <v>0.6</v>
      </c>
      <c r="I53" s="112">
        <f ca="1"/>
        <v>0.25</v>
      </c>
      <c r="J53" s="133">
        <f ca="1"/>
        <v>5.7122995106200079E-2</v>
      </c>
      <c r="K53" s="96">
        <f ca="1"/>
        <v>4.53</v>
      </c>
      <c r="L53" s="134">
        <f ca="1"/>
        <v>1.2609932694525403E-2</v>
      </c>
    </row>
    <row r="54" spans="2:12">
      <c r="B54" t="str">
        <f ca="1"/>
        <v>Residential Building - medium density</v>
      </c>
      <c r="C54" s="33" t="str">
        <f ca="1"/>
        <v>Structural steel</v>
      </c>
      <c r="D54" s="43">
        <f ca="1"/>
        <v>46447</v>
      </c>
      <c r="E54" s="138">
        <f ca="1"/>
        <v>151</v>
      </c>
      <c r="F54" s="112">
        <f ca="1"/>
        <v>0.02</v>
      </c>
      <c r="G54" s="112">
        <f ca="1"/>
        <v>0.52500514810102583</v>
      </c>
      <c r="H54" s="112">
        <f ca="1"/>
        <v>0.6</v>
      </c>
      <c r="I54" s="112">
        <f ca="1"/>
        <v>0.25</v>
      </c>
      <c r="J54" s="133">
        <f ca="1"/>
        <v>0.23782733208976467</v>
      </c>
      <c r="K54" s="96">
        <f ca="1"/>
        <v>3.02</v>
      </c>
      <c r="L54" s="134">
        <f ca="1"/>
        <v>7.8750772215153864E-2</v>
      </c>
    </row>
    <row r="55" spans="2:12">
      <c r="B55" t="str">
        <f ca="1"/>
        <v>Residential Building - medium density</v>
      </c>
      <c r="C55" s="33" t="str">
        <f ca="1"/>
        <v>Concrete</v>
      </c>
      <c r="D55" s="43">
        <f ca="1"/>
        <v>46447</v>
      </c>
      <c r="E55" s="138">
        <f ca="1"/>
        <v>151</v>
      </c>
      <c r="F55" s="112">
        <f ca="1"/>
        <v>0.04</v>
      </c>
      <c r="G55" s="112">
        <f ca="1"/>
        <v>1.1472584695084088E-2</v>
      </c>
      <c r="H55" s="112">
        <f ca="1"/>
        <v>0.6</v>
      </c>
      <c r="I55" s="112">
        <f ca="1"/>
        <v>0.25</v>
      </c>
      <c r="J55" s="133">
        <f ca="1"/>
        <v>1.0394161733746184E-2</v>
      </c>
      <c r="K55" s="96">
        <f ca="1"/>
        <v>6.04</v>
      </c>
      <c r="L55" s="134">
        <f ca="1"/>
        <v>1.7208877042626132E-3</v>
      </c>
    </row>
    <row r="56" spans="2:12">
      <c r="B56" t="str">
        <f ca="1"/>
        <v>Residential Building - medium density</v>
      </c>
      <c r="C56" s="33" t="str">
        <f ca="1"/>
        <v>Masonry</v>
      </c>
      <c r="D56" s="43">
        <f ca="1"/>
        <v>46447</v>
      </c>
      <c r="E56" s="138">
        <f ca="1"/>
        <v>151</v>
      </c>
      <c r="F56" s="112">
        <f ca="1"/>
        <v>0.02</v>
      </c>
      <c r="G56" s="112">
        <f ca="1"/>
        <v>9.8410961434768088E-2</v>
      </c>
      <c r="H56" s="112">
        <f ca="1"/>
        <v>0.6</v>
      </c>
      <c r="I56" s="112">
        <f ca="1"/>
        <v>0.25</v>
      </c>
      <c r="J56" s="133">
        <f ca="1"/>
        <v>4.4580165529949943E-2</v>
      </c>
      <c r="K56" s="96">
        <f ca="1"/>
        <v>3.02</v>
      </c>
      <c r="L56" s="134">
        <f ca="1"/>
        <v>1.4761644215215213E-2</v>
      </c>
    </row>
    <row r="57" spans="2:12">
      <c r="B57" t="str">
        <f ca="1"/>
        <v>Residential Building - medium density</v>
      </c>
      <c r="C57" s="33" t="str">
        <f ca="1"/>
        <v>Wood</v>
      </c>
      <c r="D57" s="43">
        <f ca="1"/>
        <v>46447</v>
      </c>
      <c r="E57" s="138">
        <f ca="1"/>
        <v>151</v>
      </c>
      <c r="F57" s="112">
        <f ca="1"/>
        <v>0.18</v>
      </c>
      <c r="G57" s="112">
        <f ca="1"/>
        <v>0.13840817436677436</v>
      </c>
      <c r="H57" s="112">
        <f ca="1"/>
        <v>0.6</v>
      </c>
      <c r="I57" s="112">
        <f ca="1"/>
        <v>0.25</v>
      </c>
      <c r="J57" s="133">
        <f ca="1"/>
        <v>0.56429012689333902</v>
      </c>
      <c r="K57" s="96">
        <f ca="1"/>
        <v>27.18</v>
      </c>
      <c r="L57" s="134">
        <f ca="1"/>
        <v>2.0761226155016153E-2</v>
      </c>
    </row>
    <row r="58" spans="2:12">
      <c r="B58" t="str">
        <f ca="1"/>
        <v>Residential Building - medium density</v>
      </c>
      <c r="C58" s="33" t="str">
        <f ca="1"/>
        <v>Electrical wire</v>
      </c>
      <c r="D58" s="43">
        <f ca="1"/>
        <v>46447</v>
      </c>
      <c r="E58" s="138">
        <f ca="1"/>
        <v>151</v>
      </c>
      <c r="F58" s="112">
        <f ca="1"/>
        <v>0.02</v>
      </c>
      <c r="G58" s="112">
        <f ca="1"/>
        <v>0.80654510583379313</v>
      </c>
      <c r="H58" s="112">
        <f ca="1"/>
        <v>0.6</v>
      </c>
      <c r="I58" s="112">
        <f ca="1"/>
        <v>0.25</v>
      </c>
      <c r="J58" s="133">
        <f ca="1"/>
        <v>0.36536493294270828</v>
      </c>
      <c r="K58" s="96">
        <f ca="1"/>
        <v>3.02</v>
      </c>
      <c r="L58" s="134">
        <f ca="1"/>
        <v>0.12098176587506897</v>
      </c>
    </row>
    <row r="59" spans="2:12">
      <c r="B59" t="str">
        <f ca="1"/>
        <v>Residential Building - medium density</v>
      </c>
      <c r="C59" s="33" t="str">
        <f ca="1"/>
        <v>Glass</v>
      </c>
      <c r="D59" s="43">
        <f ca="1"/>
        <v>46447</v>
      </c>
      <c r="E59" s="138">
        <f ca="1"/>
        <v>151</v>
      </c>
      <c r="F59" s="112">
        <f ca="1"/>
        <v>0.05</v>
      </c>
      <c r="G59" s="112">
        <f ca="1"/>
        <v>0.24210307145623419</v>
      </c>
      <c r="H59" s="112">
        <f ca="1"/>
        <v>0.6</v>
      </c>
      <c r="I59" s="112">
        <f ca="1"/>
        <v>0.25</v>
      </c>
      <c r="J59" s="133">
        <f ca="1"/>
        <v>0.27418172842418526</v>
      </c>
      <c r="K59" s="96">
        <f ca="1"/>
        <v>7.5500000000000007</v>
      </c>
      <c r="L59" s="134">
        <f ca="1"/>
        <v>3.6315460718435132E-2</v>
      </c>
    </row>
    <row r="60" spans="2:12">
      <c r="B60" t="str">
        <f ca="1"/>
        <v>Residential Building - medium density</v>
      </c>
      <c r="C60" s="33" t="str">
        <f ca="1"/>
        <v>Roofing</v>
      </c>
      <c r="D60" s="43">
        <f ca="1"/>
        <v>46447</v>
      </c>
      <c r="E60" s="138">
        <f ca="1"/>
        <v>151</v>
      </c>
      <c r="F60" s="112">
        <f ca="1"/>
        <v>7.0000000000000007E-2</v>
      </c>
      <c r="G60" s="112">
        <f ca="1"/>
        <v>2.4772729573316262E-4</v>
      </c>
      <c r="H60" s="112">
        <f ca="1"/>
        <v>0.6</v>
      </c>
      <c r="I60" s="112">
        <f ca="1"/>
        <v>0.25</v>
      </c>
      <c r="J60" s="133">
        <f ca="1"/>
        <v>3.9277162738492931E-4</v>
      </c>
      <c r="K60" s="96">
        <f ca="1"/>
        <v>10.57</v>
      </c>
      <c r="L60" s="134">
        <f ca="1"/>
        <v>3.7159094359974391E-5</v>
      </c>
    </row>
    <row r="61" spans="2:12">
      <c r="B61" t="str">
        <f ca="1"/>
        <v>Residential Building - medium density</v>
      </c>
      <c r="C61" s="33" t="str">
        <f ca="1"/>
        <v>Interior</v>
      </c>
      <c r="D61" s="43">
        <f ca="1"/>
        <v>46447</v>
      </c>
      <c r="E61" s="138">
        <f ca="1"/>
        <v>151</v>
      </c>
      <c r="F61" s="112">
        <f ca="1"/>
        <v>0.04</v>
      </c>
      <c r="G61" s="112">
        <f ca="1"/>
        <v>0.54050345117059384</v>
      </c>
      <c r="H61" s="112">
        <f ca="1"/>
        <v>0.6</v>
      </c>
      <c r="I61" s="112">
        <f ca="1"/>
        <v>0.25</v>
      </c>
      <c r="J61" s="133">
        <f ca="1"/>
        <v>0.48969612676055801</v>
      </c>
      <c r="K61" s="96">
        <f ca="1"/>
        <v>6.04</v>
      </c>
      <c r="L61" s="134">
        <f ca="1"/>
        <v>8.1075517675589071E-2</v>
      </c>
    </row>
    <row r="62" spans="2:12">
      <c r="B62" t="str">
        <f ca="1"/>
        <v>Residential Building - medium density</v>
      </c>
      <c r="C62" s="33" t="str">
        <f ca="1"/>
        <v>Polyethylene pipes</v>
      </c>
      <c r="D62" s="43">
        <f ca="1"/>
        <v>46447</v>
      </c>
      <c r="E62" s="138">
        <f ca="1"/>
        <v>151</v>
      </c>
      <c r="F62" s="112">
        <f ca="1"/>
        <v>5.0000000000000001E-3</v>
      </c>
      <c r="G62" s="112">
        <f ca="1"/>
        <v>0.12828361767948987</v>
      </c>
      <c r="H62" s="112">
        <f ca="1"/>
        <v>0.6</v>
      </c>
      <c r="I62" s="112">
        <f ca="1"/>
        <v>0.25</v>
      </c>
      <c r="J62" s="133">
        <f ca="1"/>
        <v>1.4528119702202226E-2</v>
      </c>
      <c r="K62" s="96">
        <f ca="1"/>
        <v>0.755</v>
      </c>
      <c r="L62" s="134">
        <f ca="1"/>
        <v>1.9242542651923478E-2</v>
      </c>
    </row>
    <row r="63" spans="2:12">
      <c r="B63" t="str">
        <f ca="1"/>
        <v>Residential Building - medium density</v>
      </c>
      <c r="C63" s="33" t="str">
        <f ca="1"/>
        <v>Plant and equipment</v>
      </c>
      <c r="D63" s="43">
        <f ca="1"/>
        <v>46447</v>
      </c>
      <c r="E63" s="138">
        <f ca="1"/>
        <v>151</v>
      </c>
      <c r="F63" s="112">
        <f ca="1"/>
        <v>0.04</v>
      </c>
      <c r="G63" s="112">
        <f ca="1"/>
        <v>0.31546495432215926</v>
      </c>
      <c r="H63" s="112">
        <f ca="1"/>
        <v>0.8</v>
      </c>
      <c r="I63" s="112">
        <f ca="1"/>
        <v>0.25</v>
      </c>
      <c r="J63" s="133">
        <f ca="1"/>
        <v>0.3810816648211684</v>
      </c>
      <c r="K63" s="96">
        <f ca="1"/>
        <v>6.04</v>
      </c>
      <c r="L63" s="134">
        <f ca="1"/>
        <v>6.3092990864431847E-2</v>
      </c>
    </row>
    <row r="64" spans="2:12">
      <c r="B64" t="str">
        <f ca="1"/>
        <v>Residential Building - medium density</v>
      </c>
      <c r="C64" s="33" t="str">
        <f ca="1"/>
        <v>Electrical equipment</v>
      </c>
      <c r="D64" s="43">
        <f ca="1"/>
        <v>46447</v>
      </c>
      <c r="E64" s="138">
        <f ca="1"/>
        <v>151</v>
      </c>
      <c r="F64" s="112">
        <f ca="1"/>
        <v>0.02</v>
      </c>
      <c r="G64" s="112">
        <f ca="1"/>
        <v>0.48556692694591386</v>
      </c>
      <c r="H64" s="112">
        <f ca="1"/>
        <v>0.8</v>
      </c>
      <c r="I64" s="112">
        <f ca="1"/>
        <v>0.25</v>
      </c>
      <c r="J64" s="133">
        <f ca="1"/>
        <v>0.29328242387533199</v>
      </c>
      <c r="K64" s="96">
        <f ca="1"/>
        <v>3.02</v>
      </c>
      <c r="L64" s="134">
        <f ca="1"/>
        <v>9.711338538918278E-2</v>
      </c>
    </row>
    <row r="65" spans="2:12">
      <c r="B65" t="str">
        <f ca="1"/>
        <v>Residential Building - medium density</v>
      </c>
      <c r="C65" s="33" t="str">
        <f ca="1"/>
        <v>Diesel</v>
      </c>
      <c r="D65" s="43">
        <f ca="1"/>
        <v>46447</v>
      </c>
      <c r="E65" s="138">
        <f ca="1"/>
        <v>151</v>
      </c>
      <c r="F65" s="112">
        <f ca="1"/>
        <v>0.05</v>
      </c>
      <c r="G65" s="112">
        <f ca="1"/>
        <v>0.45356302165418505</v>
      </c>
      <c r="H65" s="112">
        <f ca="1"/>
        <v>0.6</v>
      </c>
      <c r="I65" s="112">
        <f ca="1"/>
        <v>0.1</v>
      </c>
      <c r="J65" s="133">
        <f ca="1"/>
        <v>0.20546404880934582</v>
      </c>
      <c r="K65" s="96">
        <f ca="1"/>
        <v>7.5500000000000007</v>
      </c>
      <c r="L65" s="134">
        <f ca="1"/>
        <v>2.7213781299251099E-2</v>
      </c>
    </row>
    <row r="66" spans="2:12">
      <c r="B66" t="str">
        <f ca="1"/>
        <v>Residential Building - low density</v>
      </c>
      <c r="C66" s="33" t="str">
        <f ca="1"/>
        <v>Labour</v>
      </c>
      <c r="D66" s="43">
        <f ca="1"/>
        <v>46082</v>
      </c>
      <c r="E66" s="138">
        <f ca="1"/>
        <v>14</v>
      </c>
      <c r="F66" s="112">
        <f ca="1"/>
        <v>0.41499999999999998</v>
      </c>
      <c r="G66" s="112" t="str">
        <f ca="1"/>
        <v>N/A</v>
      </c>
      <c r="H66" s="112" t="str">
        <f ca="1"/>
        <v>N/A</v>
      </c>
      <c r="I66" s="112" t="str">
        <f ca="1"/>
        <v>N/A</v>
      </c>
      <c r="J66" s="133">
        <f ca="1"/>
        <v>0</v>
      </c>
      <c r="K66" s="96">
        <f ca="1"/>
        <v>5.81</v>
      </c>
      <c r="L66" s="134">
        <f ca="1"/>
        <v>0</v>
      </c>
    </row>
    <row r="67" spans="2:12">
      <c r="B67" t="str">
        <f ca="1"/>
        <v>Residential Building - low density</v>
      </c>
      <c r="C67" s="33" t="str">
        <f ca="1"/>
        <v>Reinforcing bar</v>
      </c>
      <c r="D67" s="43">
        <f ca="1"/>
        <v>46082</v>
      </c>
      <c r="E67" s="138">
        <f ca="1"/>
        <v>14</v>
      </c>
      <c r="F67" s="112">
        <f ca="1"/>
        <v>0.02</v>
      </c>
      <c r="G67" s="112">
        <f ca="1"/>
        <v>8.4066217963502693E-2</v>
      </c>
      <c r="H67" s="112">
        <f ca="1"/>
        <v>0.6</v>
      </c>
      <c r="I67" s="112">
        <f ca="1"/>
        <v>0.25</v>
      </c>
      <c r="J67" s="133">
        <f ca="1"/>
        <v>3.5307811544671133E-3</v>
      </c>
      <c r="K67" s="96">
        <f ca="1"/>
        <v>0.28000000000000003</v>
      </c>
      <c r="L67" s="134">
        <f ca="1"/>
        <v>1.2609932694525403E-2</v>
      </c>
    </row>
    <row r="68" spans="2:12">
      <c r="B68" t="str">
        <f ca="1"/>
        <v>Residential Building - low density</v>
      </c>
      <c r="C68" s="33" t="str">
        <f ca="1"/>
        <v>Structural steel</v>
      </c>
      <c r="D68" s="43">
        <f ca="1"/>
        <v>46082</v>
      </c>
      <c r="E68" s="138">
        <f ca="1"/>
        <v>14</v>
      </c>
      <c r="F68" s="112">
        <f ca="1"/>
        <v>0.01</v>
      </c>
      <c r="G68" s="112">
        <f ca="1"/>
        <v>0.52500514810102583</v>
      </c>
      <c r="H68" s="112">
        <f ca="1"/>
        <v>0.6</v>
      </c>
      <c r="I68" s="112">
        <f ca="1"/>
        <v>0.25</v>
      </c>
      <c r="J68" s="133">
        <f ca="1"/>
        <v>1.1025108110121544E-2</v>
      </c>
      <c r="K68" s="96">
        <f ca="1"/>
        <v>0.14000000000000001</v>
      </c>
      <c r="L68" s="134">
        <f ca="1"/>
        <v>7.8750772215153877E-2</v>
      </c>
    </row>
    <row r="69" spans="2:12">
      <c r="B69" t="str">
        <f ca="1"/>
        <v>Residential Building - low density</v>
      </c>
      <c r="C69" s="33" t="str">
        <f ca="1"/>
        <v>Concrete</v>
      </c>
      <c r="D69" s="43">
        <f ca="1"/>
        <v>46082</v>
      </c>
      <c r="E69" s="138">
        <f ca="1"/>
        <v>14</v>
      </c>
      <c r="F69" s="112">
        <f ca="1"/>
        <v>0.04</v>
      </c>
      <c r="G69" s="112">
        <f ca="1"/>
        <v>1.1472584695084088E-2</v>
      </c>
      <c r="H69" s="112">
        <f ca="1"/>
        <v>0.6</v>
      </c>
      <c r="I69" s="112">
        <f ca="1"/>
        <v>0.25</v>
      </c>
      <c r="J69" s="133">
        <f ca="1"/>
        <v>9.6369711438706353E-4</v>
      </c>
      <c r="K69" s="96">
        <f ca="1"/>
        <v>0.56000000000000005</v>
      </c>
      <c r="L69" s="134">
        <f ca="1"/>
        <v>1.7208877042626132E-3</v>
      </c>
    </row>
    <row r="70" spans="2:12">
      <c r="B70" t="str">
        <f ca="1"/>
        <v>Residential Building - low density</v>
      </c>
      <c r="C70" s="33" t="str">
        <f ca="1"/>
        <v>Masonry</v>
      </c>
      <c r="D70" s="43">
        <f ca="1"/>
        <v>46082</v>
      </c>
      <c r="E70" s="138">
        <f ca="1"/>
        <v>14</v>
      </c>
      <c r="F70" s="112">
        <f ca="1"/>
        <v>0.03</v>
      </c>
      <c r="G70" s="112">
        <f ca="1"/>
        <v>9.8410961434768088E-2</v>
      </c>
      <c r="H70" s="112">
        <f ca="1"/>
        <v>0.6</v>
      </c>
      <c r="I70" s="112">
        <f ca="1"/>
        <v>0.25</v>
      </c>
      <c r="J70" s="133">
        <f ca="1"/>
        <v>6.1998905703903899E-3</v>
      </c>
      <c r="K70" s="96">
        <f ca="1"/>
        <v>0.42</v>
      </c>
      <c r="L70" s="134">
        <f ca="1"/>
        <v>1.4761644215215215E-2</v>
      </c>
    </row>
    <row r="71" spans="2:12">
      <c r="B71" t="str">
        <f ca="1"/>
        <v>Residential Building - low density</v>
      </c>
      <c r="C71" s="33" t="str">
        <f ca="1"/>
        <v>Wood</v>
      </c>
      <c r="D71" s="43">
        <f ca="1"/>
        <v>46082</v>
      </c>
      <c r="E71" s="138">
        <f ca="1"/>
        <v>14</v>
      </c>
      <c r="F71" s="112">
        <f ca="1"/>
        <v>0.2</v>
      </c>
      <c r="G71" s="112">
        <f ca="1"/>
        <v>0.13840817436677436</v>
      </c>
      <c r="H71" s="112">
        <f ca="1"/>
        <v>0.6</v>
      </c>
      <c r="I71" s="112">
        <f ca="1"/>
        <v>0.25</v>
      </c>
      <c r="J71" s="133">
        <f ca="1"/>
        <v>5.8131433234045238E-2</v>
      </c>
      <c r="K71" s="96">
        <f ca="1"/>
        <v>2.8000000000000003</v>
      </c>
      <c r="L71" s="134">
        <f ca="1"/>
        <v>2.0761226155016153E-2</v>
      </c>
    </row>
    <row r="72" spans="2:12">
      <c r="B72" t="str">
        <f ca="1"/>
        <v>Residential Building - low density</v>
      </c>
      <c r="C72" s="33" t="str">
        <f ca="1"/>
        <v>Electrical wire</v>
      </c>
      <c r="D72" s="43">
        <f ca="1"/>
        <v>46082</v>
      </c>
      <c r="E72" s="138">
        <f ca="1"/>
        <v>14</v>
      </c>
      <c r="F72" s="112">
        <f ca="1"/>
        <v>0.02</v>
      </c>
      <c r="G72" s="112">
        <f ca="1"/>
        <v>0.80654510583379313</v>
      </c>
      <c r="H72" s="112">
        <f ca="1"/>
        <v>0.6</v>
      </c>
      <c r="I72" s="112">
        <f ca="1"/>
        <v>0.25</v>
      </c>
      <c r="J72" s="133">
        <f ca="1"/>
        <v>3.3874894445019316E-2</v>
      </c>
      <c r="K72" s="96">
        <f ca="1"/>
        <v>0.28000000000000003</v>
      </c>
      <c r="L72" s="134">
        <f ca="1"/>
        <v>0.12098176587506897</v>
      </c>
    </row>
    <row r="73" spans="2:12">
      <c r="B73" t="str">
        <f ca="1"/>
        <v>Residential Building - low density</v>
      </c>
      <c r="C73" s="33" t="str">
        <f ca="1"/>
        <v>Glass</v>
      </c>
      <c r="D73" s="43">
        <f ca="1"/>
        <v>46082</v>
      </c>
      <c r="E73" s="138">
        <f ca="1"/>
        <v>14</v>
      </c>
      <c r="F73" s="112">
        <f ca="1"/>
        <v>0.04</v>
      </c>
      <c r="G73" s="112">
        <f ca="1"/>
        <v>0.24210307145623419</v>
      </c>
      <c r="H73" s="112">
        <f ca="1"/>
        <v>0.6</v>
      </c>
      <c r="I73" s="112">
        <f ca="1"/>
        <v>0.25</v>
      </c>
      <c r="J73" s="133">
        <f ca="1"/>
        <v>2.0336658002323673E-2</v>
      </c>
      <c r="K73" s="96">
        <f ca="1"/>
        <v>0.56000000000000005</v>
      </c>
      <c r="L73" s="134">
        <f ca="1"/>
        <v>3.6315460718435125E-2</v>
      </c>
    </row>
    <row r="74" spans="2:12">
      <c r="B74" t="str">
        <f ca="1"/>
        <v>Residential Building - low density</v>
      </c>
      <c r="C74" s="33" t="str">
        <f ca="1"/>
        <v>Roofing</v>
      </c>
      <c r="D74" s="43">
        <f ca="1"/>
        <v>46082</v>
      </c>
      <c r="E74" s="138">
        <f ca="1"/>
        <v>14</v>
      </c>
      <c r="F74" s="112">
        <f ca="1"/>
        <v>0.08</v>
      </c>
      <c r="G74" s="112">
        <f ca="1"/>
        <v>2.4772729573316262E-4</v>
      </c>
      <c r="H74" s="112">
        <f ca="1"/>
        <v>0.6</v>
      </c>
      <c r="I74" s="112">
        <f ca="1"/>
        <v>0.25</v>
      </c>
      <c r="J74" s="133">
        <f ca="1"/>
        <v>4.1618185683171327E-5</v>
      </c>
      <c r="K74" s="96">
        <f ca="1"/>
        <v>1.1200000000000001</v>
      </c>
      <c r="L74" s="134">
        <f ca="1"/>
        <v>3.7159094359974398E-5</v>
      </c>
    </row>
    <row r="75" spans="2:12">
      <c r="B75" t="str">
        <f ca="1"/>
        <v>Residential Building - low density</v>
      </c>
      <c r="C75" s="33" t="str">
        <f ca="1"/>
        <v>Interior</v>
      </c>
      <c r="D75" s="43">
        <f ca="1"/>
        <v>46082</v>
      </c>
      <c r="E75" s="138">
        <f ca="1"/>
        <v>14</v>
      </c>
      <c r="F75" s="112">
        <f ca="1"/>
        <v>0.04</v>
      </c>
      <c r="G75" s="112">
        <f ca="1"/>
        <v>0.54050345117059384</v>
      </c>
      <c r="H75" s="112">
        <f ca="1"/>
        <v>0.6</v>
      </c>
      <c r="I75" s="112">
        <f ca="1"/>
        <v>0.25</v>
      </c>
      <c r="J75" s="133">
        <f ca="1"/>
        <v>4.5402289898329881E-2</v>
      </c>
      <c r="K75" s="96">
        <f ca="1"/>
        <v>0.56000000000000005</v>
      </c>
      <c r="L75" s="134">
        <f ca="1"/>
        <v>8.1075517675589071E-2</v>
      </c>
    </row>
    <row r="76" spans="2:12">
      <c r="B76" t="str">
        <f ca="1"/>
        <v>Residential Building - low density</v>
      </c>
      <c r="C76" s="33" t="str">
        <f ca="1"/>
        <v>Polyethylene pipes</v>
      </c>
      <c r="D76" s="43">
        <f ca="1"/>
        <v>46082</v>
      </c>
      <c r="E76" s="138">
        <f ca="1"/>
        <v>14</v>
      </c>
      <c r="F76" s="112">
        <f ca="1"/>
        <v>5.0000000000000001E-3</v>
      </c>
      <c r="G76" s="112">
        <f ca="1"/>
        <v>0.12828361767948987</v>
      </c>
      <c r="H76" s="112">
        <f ca="1"/>
        <v>0.6</v>
      </c>
      <c r="I76" s="112">
        <f ca="1"/>
        <v>0.25</v>
      </c>
      <c r="J76" s="133">
        <f ca="1"/>
        <v>1.3469779856346439E-3</v>
      </c>
      <c r="K76" s="96">
        <f ca="1"/>
        <v>7.0000000000000007E-2</v>
      </c>
      <c r="L76" s="134">
        <f ca="1"/>
        <v>1.9242542651923482E-2</v>
      </c>
    </row>
    <row r="77" spans="2:12">
      <c r="B77" t="str">
        <f ca="1"/>
        <v>Residential Building - low density</v>
      </c>
      <c r="C77" s="33" t="str">
        <f ca="1"/>
        <v>Plant and equipment</v>
      </c>
      <c r="D77" s="43">
        <f ca="1"/>
        <v>46082</v>
      </c>
      <c r="E77" s="138">
        <f ca="1"/>
        <v>14</v>
      </c>
      <c r="F77" s="112">
        <f ca="1"/>
        <v>0.04</v>
      </c>
      <c r="G77" s="112">
        <f ca="1"/>
        <v>0.31546495432215926</v>
      </c>
      <c r="H77" s="112">
        <f ca="1"/>
        <v>0.8</v>
      </c>
      <c r="I77" s="112">
        <f ca="1"/>
        <v>0.25</v>
      </c>
      <c r="J77" s="133">
        <f ca="1"/>
        <v>3.5332074884081847E-2</v>
      </c>
      <c r="K77" s="96">
        <f ca="1"/>
        <v>0.56000000000000005</v>
      </c>
      <c r="L77" s="134">
        <f ca="1"/>
        <v>6.3092990864431861E-2</v>
      </c>
    </row>
    <row r="78" spans="2:12">
      <c r="B78" t="str">
        <f ca="1"/>
        <v>Residential Building - low density</v>
      </c>
      <c r="C78" s="33" t="str">
        <f ca="1"/>
        <v>Electrical equipment</v>
      </c>
      <c r="D78" s="43">
        <f ca="1"/>
        <v>46082</v>
      </c>
      <c r="E78" s="138">
        <f ca="1"/>
        <v>14</v>
      </c>
      <c r="F78" s="112">
        <f ca="1"/>
        <v>0.01</v>
      </c>
      <c r="G78" s="112">
        <f ca="1"/>
        <v>0.48556692694591386</v>
      </c>
      <c r="H78" s="112">
        <f ca="1"/>
        <v>0.8</v>
      </c>
      <c r="I78" s="112">
        <f ca="1"/>
        <v>0.25</v>
      </c>
      <c r="J78" s="133">
        <f ca="1"/>
        <v>1.3595873954485591E-2</v>
      </c>
      <c r="K78" s="96">
        <f ca="1"/>
        <v>0.14000000000000001</v>
      </c>
      <c r="L78" s="134">
        <f ca="1"/>
        <v>9.711338538918278E-2</v>
      </c>
    </row>
    <row r="79" spans="2:12">
      <c r="B79" t="str">
        <f ca="1"/>
        <v>Residential Building - low density</v>
      </c>
      <c r="C79" s="33" t="str">
        <f ca="1"/>
        <v>Diesel</v>
      </c>
      <c r="D79" s="43">
        <f ca="1"/>
        <v>46082</v>
      </c>
      <c r="E79" s="138">
        <f ca="1"/>
        <v>14</v>
      </c>
      <c r="F79" s="112">
        <f ca="1"/>
        <v>0.05</v>
      </c>
      <c r="G79" s="112">
        <f ca="1"/>
        <v>0.45356302165418505</v>
      </c>
      <c r="H79" s="112">
        <f ca="1"/>
        <v>0.6</v>
      </c>
      <c r="I79" s="112">
        <f ca="1"/>
        <v>0.1</v>
      </c>
      <c r="J79" s="133">
        <f ca="1"/>
        <v>1.9049646909475776E-2</v>
      </c>
      <c r="K79" s="96">
        <f ca="1"/>
        <v>0.70000000000000007</v>
      </c>
      <c r="L79" s="134">
        <f ca="1"/>
        <v>2.7213781299251106E-2</v>
      </c>
    </row>
    <row r="80" spans="2:12">
      <c r="B80" t="str">
        <f ca="1"/>
        <v>Residential Building - low density</v>
      </c>
      <c r="C80" s="33" t="str">
        <f ca="1"/>
        <v>Labour</v>
      </c>
      <c r="D80" s="43">
        <f ca="1"/>
        <v>46447</v>
      </c>
      <c r="E80" s="138">
        <f ca="1"/>
        <v>16</v>
      </c>
      <c r="F80" s="112">
        <f ca="1"/>
        <v>0.41499999999999998</v>
      </c>
      <c r="G80" s="112" t="str">
        <f ca="1"/>
        <v>N/A</v>
      </c>
      <c r="H80" s="112" t="str">
        <f ca="1"/>
        <v>N/A</v>
      </c>
      <c r="I80" s="112" t="str">
        <f ca="1"/>
        <v>N/A</v>
      </c>
      <c r="J80" s="133">
        <f ca="1"/>
        <v>0</v>
      </c>
      <c r="K80" s="96">
        <f ca="1"/>
        <v>6.64</v>
      </c>
      <c r="L80" s="134">
        <f ca="1"/>
        <v>0</v>
      </c>
    </row>
    <row r="81" spans="2:12">
      <c r="B81" t="str">
        <f ca="1"/>
        <v>Residential Building - low density</v>
      </c>
      <c r="C81" s="33" t="str">
        <f ca="1"/>
        <v>Reinforcing bar</v>
      </c>
      <c r="D81" s="43">
        <f ca="1"/>
        <v>46447</v>
      </c>
      <c r="E81" s="138">
        <f ca="1"/>
        <v>16</v>
      </c>
      <c r="F81" s="112">
        <f ca="1"/>
        <v>0.02</v>
      </c>
      <c r="G81" s="112">
        <f ca="1"/>
        <v>8.4066217963502693E-2</v>
      </c>
      <c r="H81" s="112">
        <f ca="1"/>
        <v>0.6</v>
      </c>
      <c r="I81" s="112">
        <f ca="1"/>
        <v>0.25</v>
      </c>
      <c r="J81" s="133">
        <f ca="1"/>
        <v>4.035178462248129E-3</v>
      </c>
      <c r="K81" s="96">
        <f ca="1"/>
        <v>0.32</v>
      </c>
      <c r="L81" s="134">
        <f ca="1"/>
        <v>1.2609932694525403E-2</v>
      </c>
    </row>
    <row r="82" spans="2:12">
      <c r="B82" t="str">
        <f ca="1"/>
        <v>Residential Building - low density</v>
      </c>
      <c r="C82" s="33" t="str">
        <f ca="1"/>
        <v>Structural steel</v>
      </c>
      <c r="D82" s="43">
        <f ca="1"/>
        <v>46447</v>
      </c>
      <c r="E82" s="138">
        <f ca="1"/>
        <v>16</v>
      </c>
      <c r="F82" s="112">
        <f ca="1"/>
        <v>0.01</v>
      </c>
      <c r="G82" s="112">
        <f ca="1"/>
        <v>0.52500514810102583</v>
      </c>
      <c r="H82" s="112">
        <f ca="1"/>
        <v>0.6</v>
      </c>
      <c r="I82" s="112">
        <f ca="1"/>
        <v>0.25</v>
      </c>
      <c r="J82" s="133">
        <f ca="1"/>
        <v>1.2600123554424619E-2</v>
      </c>
      <c r="K82" s="96">
        <f ca="1"/>
        <v>0.16</v>
      </c>
      <c r="L82" s="134">
        <f ca="1"/>
        <v>7.8750772215153864E-2</v>
      </c>
    </row>
    <row r="83" spans="2:12">
      <c r="B83" t="str">
        <f ca="1"/>
        <v>Residential Building - low density</v>
      </c>
      <c r="C83" s="33" t="str">
        <f ca="1"/>
        <v>Concrete</v>
      </c>
      <c r="D83" s="43">
        <f ca="1"/>
        <v>46447</v>
      </c>
      <c r="E83" s="138">
        <f ca="1"/>
        <v>16</v>
      </c>
      <c r="F83" s="112">
        <f ca="1"/>
        <v>0.04</v>
      </c>
      <c r="G83" s="112">
        <f ca="1"/>
        <v>1.1472584695084088E-2</v>
      </c>
      <c r="H83" s="112">
        <f ca="1"/>
        <v>0.6</v>
      </c>
      <c r="I83" s="112">
        <f ca="1"/>
        <v>0.25</v>
      </c>
      <c r="J83" s="133">
        <f ca="1"/>
        <v>1.1013681307280726E-3</v>
      </c>
      <c r="K83" s="96">
        <f ca="1"/>
        <v>0.64</v>
      </c>
      <c r="L83" s="134">
        <f ca="1"/>
        <v>1.7208877042626134E-3</v>
      </c>
    </row>
    <row r="84" spans="2:12">
      <c r="B84" t="str">
        <f ca="1"/>
        <v>Residential Building - low density</v>
      </c>
      <c r="C84" s="33" t="str">
        <f ca="1"/>
        <v>Masonry</v>
      </c>
      <c r="D84" s="43">
        <f ca="1"/>
        <v>46447</v>
      </c>
      <c r="E84" s="138">
        <f ca="1"/>
        <v>16</v>
      </c>
      <c r="F84" s="112">
        <f ca="1"/>
        <v>0.03</v>
      </c>
      <c r="G84" s="112">
        <f ca="1"/>
        <v>9.8410961434768088E-2</v>
      </c>
      <c r="H84" s="112">
        <f ca="1"/>
        <v>0.6</v>
      </c>
      <c r="I84" s="112">
        <f ca="1"/>
        <v>0.25</v>
      </c>
      <c r="J84" s="133">
        <f ca="1"/>
        <v>7.0855892233033018E-3</v>
      </c>
      <c r="K84" s="96">
        <f ca="1"/>
        <v>0.48</v>
      </c>
      <c r="L84" s="134">
        <f ca="1"/>
        <v>1.4761644215215213E-2</v>
      </c>
    </row>
    <row r="85" spans="2:12">
      <c r="B85" t="str">
        <f ca="1"/>
        <v>Residential Building - low density</v>
      </c>
      <c r="C85" s="33" t="str">
        <f ca="1"/>
        <v>Wood</v>
      </c>
      <c r="D85" s="43">
        <f ca="1"/>
        <v>46447</v>
      </c>
      <c r="E85" s="138">
        <f ca="1"/>
        <v>16</v>
      </c>
      <c r="F85" s="112">
        <f ca="1"/>
        <v>0.2</v>
      </c>
      <c r="G85" s="112">
        <f ca="1"/>
        <v>0.13840817436677436</v>
      </c>
      <c r="H85" s="112">
        <f ca="1"/>
        <v>0.6</v>
      </c>
      <c r="I85" s="112">
        <f ca="1"/>
        <v>0.25</v>
      </c>
      <c r="J85" s="133">
        <f ca="1"/>
        <v>6.6435923696051682E-2</v>
      </c>
      <c r="K85" s="96">
        <f ca="1"/>
        <v>3.2</v>
      </c>
      <c r="L85" s="134">
        <f ca="1"/>
        <v>2.076122615501615E-2</v>
      </c>
    </row>
    <row r="86" spans="2:12">
      <c r="B86" t="str">
        <f ca="1"/>
        <v>Residential Building - low density</v>
      </c>
      <c r="C86" s="33" t="str">
        <f ca="1"/>
        <v>Electrical wire</v>
      </c>
      <c r="D86" s="43">
        <f ca="1"/>
        <v>46447</v>
      </c>
      <c r="E86" s="138">
        <f ca="1"/>
        <v>16</v>
      </c>
      <c r="F86" s="112">
        <f ca="1"/>
        <v>0.02</v>
      </c>
      <c r="G86" s="112">
        <f ca="1"/>
        <v>0.80654510583379313</v>
      </c>
      <c r="H86" s="112">
        <f ca="1"/>
        <v>0.6</v>
      </c>
      <c r="I86" s="112">
        <f ca="1"/>
        <v>0.25</v>
      </c>
      <c r="J86" s="133">
        <f ca="1"/>
        <v>3.8714165080022067E-2</v>
      </c>
      <c r="K86" s="96">
        <f ca="1"/>
        <v>0.32</v>
      </c>
      <c r="L86" s="134">
        <f ca="1"/>
        <v>0.12098176587506895</v>
      </c>
    </row>
    <row r="87" spans="2:12">
      <c r="B87" t="str">
        <f ca="1"/>
        <v>Residential Building - low density</v>
      </c>
      <c r="C87" s="33" t="str">
        <f ca="1"/>
        <v>Glass</v>
      </c>
      <c r="D87" s="43">
        <f ca="1"/>
        <v>46447</v>
      </c>
      <c r="E87" s="138">
        <f ca="1"/>
        <v>16</v>
      </c>
      <c r="F87" s="112">
        <f ca="1"/>
        <v>0.04</v>
      </c>
      <c r="G87" s="112">
        <f ca="1"/>
        <v>0.24210307145623419</v>
      </c>
      <c r="H87" s="112">
        <f ca="1"/>
        <v>0.6</v>
      </c>
      <c r="I87" s="112">
        <f ca="1"/>
        <v>0.25</v>
      </c>
      <c r="J87" s="133">
        <f ca="1"/>
        <v>2.3241894859798481E-2</v>
      </c>
      <c r="K87" s="96">
        <f ca="1"/>
        <v>0.64</v>
      </c>
      <c r="L87" s="134">
        <f ca="1"/>
        <v>3.6315460718435125E-2</v>
      </c>
    </row>
    <row r="88" spans="2:12">
      <c r="B88" t="str">
        <f ca="1"/>
        <v>Residential Building - low density</v>
      </c>
      <c r="C88" s="33" t="str">
        <f ca="1"/>
        <v>Roofing</v>
      </c>
      <c r="D88" s="43">
        <f ca="1"/>
        <v>46447</v>
      </c>
      <c r="E88" s="138">
        <f ca="1"/>
        <v>16</v>
      </c>
      <c r="F88" s="112">
        <f ca="1"/>
        <v>0.08</v>
      </c>
      <c r="G88" s="112">
        <f ca="1"/>
        <v>2.4772729573316262E-4</v>
      </c>
      <c r="H88" s="112">
        <f ca="1"/>
        <v>0.6</v>
      </c>
      <c r="I88" s="112">
        <f ca="1"/>
        <v>0.25</v>
      </c>
      <c r="J88" s="133">
        <f ca="1"/>
        <v>4.7563640780767218E-5</v>
      </c>
      <c r="K88" s="96">
        <f ca="1"/>
        <v>1.28</v>
      </c>
      <c r="L88" s="134">
        <f ca="1"/>
        <v>3.7159094359974391E-5</v>
      </c>
    </row>
    <row r="89" spans="2:12">
      <c r="B89" t="str">
        <f ca="1"/>
        <v>Residential Building - low density</v>
      </c>
      <c r="C89" s="33" t="str">
        <f ca="1"/>
        <v>Interior</v>
      </c>
      <c r="D89" s="43">
        <f ca="1"/>
        <v>46447</v>
      </c>
      <c r="E89" s="138">
        <f ca="1"/>
        <v>16</v>
      </c>
      <c r="F89" s="112">
        <f ca="1"/>
        <v>0.04</v>
      </c>
      <c r="G89" s="112">
        <f ca="1"/>
        <v>0.54050345117059384</v>
      </c>
      <c r="H89" s="112">
        <f ca="1"/>
        <v>0.6</v>
      </c>
      <c r="I89" s="112">
        <f ca="1"/>
        <v>0.25</v>
      </c>
      <c r="J89" s="133">
        <f ca="1"/>
        <v>5.1888331312377009E-2</v>
      </c>
      <c r="K89" s="96">
        <f ca="1"/>
        <v>0.64</v>
      </c>
      <c r="L89" s="134">
        <f ca="1"/>
        <v>8.1075517675589071E-2</v>
      </c>
    </row>
    <row r="90" spans="2:12">
      <c r="B90" t="str">
        <f ca="1"/>
        <v>Residential Building - low density</v>
      </c>
      <c r="C90" s="33" t="str">
        <f ca="1"/>
        <v>Polyethylene pipes</v>
      </c>
      <c r="D90" s="43">
        <f ca="1"/>
        <v>46447</v>
      </c>
      <c r="E90" s="138">
        <f ca="1"/>
        <v>16</v>
      </c>
      <c r="F90" s="112">
        <f ca="1"/>
        <v>5.0000000000000001E-3</v>
      </c>
      <c r="G90" s="112">
        <f ca="1"/>
        <v>0.12828361767948987</v>
      </c>
      <c r="H90" s="112">
        <f ca="1"/>
        <v>0.6</v>
      </c>
      <c r="I90" s="112">
        <f ca="1"/>
        <v>0.25</v>
      </c>
      <c r="J90" s="133">
        <f ca="1"/>
        <v>1.5394034121538785E-3</v>
      </c>
      <c r="K90" s="96">
        <f ca="1"/>
        <v>0.08</v>
      </c>
      <c r="L90" s="134">
        <f ca="1"/>
        <v>1.9242542651923482E-2</v>
      </c>
    </row>
    <row r="91" spans="2:12">
      <c r="B91" t="str">
        <f ca="1"/>
        <v>Residential Building - low density</v>
      </c>
      <c r="C91" s="33" t="str">
        <f ca="1"/>
        <v>Plant and equipment</v>
      </c>
      <c r="D91" s="43">
        <f ca="1"/>
        <v>46447</v>
      </c>
      <c r="E91" s="138">
        <f ca="1"/>
        <v>16</v>
      </c>
      <c r="F91" s="112">
        <f ca="1"/>
        <v>0.04</v>
      </c>
      <c r="G91" s="112">
        <f ca="1"/>
        <v>0.31546495432215926</v>
      </c>
      <c r="H91" s="112">
        <f ca="1"/>
        <v>0.8</v>
      </c>
      <c r="I91" s="112">
        <f ca="1"/>
        <v>0.25</v>
      </c>
      <c r="J91" s="133">
        <f ca="1"/>
        <v>4.0379514153236387E-2</v>
      </c>
      <c r="K91" s="96">
        <f ca="1"/>
        <v>0.64</v>
      </c>
      <c r="L91" s="134">
        <f ca="1"/>
        <v>6.3092990864431847E-2</v>
      </c>
    </row>
    <row r="92" spans="2:12">
      <c r="B92" t="str">
        <f ca="1"/>
        <v>Residential Building - low density</v>
      </c>
      <c r="C92" s="33" t="str">
        <f ca="1"/>
        <v>Electrical equipment</v>
      </c>
      <c r="D92" s="43">
        <f ca="1"/>
        <v>46447</v>
      </c>
      <c r="E92" s="138">
        <f ca="1"/>
        <v>16</v>
      </c>
      <c r="F92" s="112">
        <f ca="1"/>
        <v>0.01</v>
      </c>
      <c r="G92" s="112">
        <f ca="1"/>
        <v>0.48556692694591386</v>
      </c>
      <c r="H92" s="112">
        <f ca="1"/>
        <v>0.8</v>
      </c>
      <c r="I92" s="112">
        <f ca="1"/>
        <v>0.25</v>
      </c>
      <c r="J92" s="133">
        <f ca="1"/>
        <v>1.5538141662269245E-2</v>
      </c>
      <c r="K92" s="96">
        <f ca="1"/>
        <v>0.16</v>
      </c>
      <c r="L92" s="134">
        <f ca="1"/>
        <v>9.711338538918278E-2</v>
      </c>
    </row>
    <row r="93" spans="2:12">
      <c r="B93" t="str">
        <f ca="1"/>
        <v>Residential Building - low density</v>
      </c>
      <c r="C93" s="33" t="str">
        <f ca="1"/>
        <v>Diesel</v>
      </c>
      <c r="D93" s="43">
        <f ca="1"/>
        <v>46447</v>
      </c>
      <c r="E93" s="138">
        <f ca="1"/>
        <v>16</v>
      </c>
      <c r="F93" s="112">
        <f ca="1"/>
        <v>0.05</v>
      </c>
      <c r="G93" s="112">
        <f ca="1"/>
        <v>0.45356302165418505</v>
      </c>
      <c r="H93" s="112">
        <f ca="1"/>
        <v>0.6</v>
      </c>
      <c r="I93" s="112">
        <f ca="1"/>
        <v>0.1</v>
      </c>
      <c r="J93" s="133">
        <f ca="1"/>
        <v>2.1771025039400885E-2</v>
      </c>
      <c r="K93" s="96">
        <f ca="1"/>
        <v>0.8</v>
      </c>
      <c r="L93" s="134">
        <f ca="1"/>
        <v>2.7213781299251106E-2</v>
      </c>
    </row>
    <row r="94" spans="2:12">
      <c r="B94" t="str">
        <f ca="1"/>
        <v>Non-Residential Building</v>
      </c>
      <c r="C94" s="33" t="str">
        <f ca="1"/>
        <v>Labour</v>
      </c>
      <c r="D94" s="43">
        <f ca="1"/>
        <v>46082</v>
      </c>
      <c r="E94" s="138">
        <f ca="1"/>
        <v>5500</v>
      </c>
      <c r="F94" s="112">
        <f ca="1"/>
        <v>0.41499999999999998</v>
      </c>
      <c r="G94" s="112" t="str">
        <f ca="1"/>
        <v>N/A</v>
      </c>
      <c r="H94" s="112" t="str">
        <f ca="1"/>
        <v>N/A</v>
      </c>
      <c r="I94" s="112" t="str">
        <f ca="1"/>
        <v>N/A</v>
      </c>
      <c r="J94" s="133">
        <f ca="1"/>
        <v>0</v>
      </c>
      <c r="K94" s="96">
        <f ca="1"/>
        <v>2282.5</v>
      </c>
      <c r="L94" s="134">
        <f ca="1"/>
        <v>0</v>
      </c>
    </row>
    <row r="95" spans="2:12">
      <c r="B95" t="str">
        <f ca="1"/>
        <v>Non-Residential Building</v>
      </c>
      <c r="C95" s="33" t="str">
        <f ca="1"/>
        <v>Engineering design</v>
      </c>
      <c r="D95" s="43">
        <f ca="1"/>
        <v>46082</v>
      </c>
      <c r="E95" s="138">
        <f ca="1"/>
        <v>5500</v>
      </c>
      <c r="F95" s="112">
        <f ca="1"/>
        <v>1.4999999999999999E-2</v>
      </c>
      <c r="G95" s="112" t="str">
        <f ca="1"/>
        <v>N/A</v>
      </c>
      <c r="H95" s="112" t="str">
        <f ca="1"/>
        <v>N/A</v>
      </c>
      <c r="I95" s="112" t="str">
        <f ca="1"/>
        <v>N/A</v>
      </c>
      <c r="J95" s="133">
        <f ca="1"/>
        <v>0</v>
      </c>
      <c r="K95" s="96">
        <f ca="1"/>
        <v>82.5</v>
      </c>
      <c r="L95" s="134">
        <f ca="1"/>
        <v>0</v>
      </c>
    </row>
    <row r="96" spans="2:12">
      <c r="B96" t="str">
        <f ca="1"/>
        <v>Non-Residential Building</v>
      </c>
      <c r="C96" s="33" t="str">
        <f ca="1"/>
        <v>Reinforcing bar</v>
      </c>
      <c r="D96" s="43">
        <f ca="1"/>
        <v>46082</v>
      </c>
      <c r="E96" s="138">
        <f ca="1"/>
        <v>5500</v>
      </c>
      <c r="F96" s="112">
        <f ca="1"/>
        <v>0.05</v>
      </c>
      <c r="G96" s="112">
        <f ca="1"/>
        <v>8.4066217963502693E-2</v>
      </c>
      <c r="H96" s="112">
        <f ca="1"/>
        <v>0.6</v>
      </c>
      <c r="I96" s="112">
        <f ca="1"/>
        <v>0.25</v>
      </c>
      <c r="J96" s="133">
        <f ca="1"/>
        <v>3.4677314909944861</v>
      </c>
      <c r="K96" s="96">
        <f ca="1"/>
        <v>275</v>
      </c>
      <c r="L96" s="134">
        <f ca="1"/>
        <v>1.2609932694525403E-2</v>
      </c>
    </row>
    <row r="97" spans="2:12">
      <c r="B97" t="str">
        <f ca="1"/>
        <v>Non-Residential Building</v>
      </c>
      <c r="C97" s="33" t="str">
        <f ca="1"/>
        <v>Structural steel</v>
      </c>
      <c r="D97" s="43">
        <f ca="1"/>
        <v>46082</v>
      </c>
      <c r="E97" s="138">
        <f ca="1"/>
        <v>5500</v>
      </c>
      <c r="F97" s="112">
        <f ca="1"/>
        <v>0.03</v>
      </c>
      <c r="G97" s="112">
        <f ca="1"/>
        <v>0.52500514810102583</v>
      </c>
      <c r="H97" s="112">
        <f ca="1"/>
        <v>0.6</v>
      </c>
      <c r="I97" s="112">
        <f ca="1"/>
        <v>0.25</v>
      </c>
      <c r="J97" s="133">
        <f ca="1"/>
        <v>12.993877415500387</v>
      </c>
      <c r="K97" s="96">
        <f ca="1"/>
        <v>165</v>
      </c>
      <c r="L97" s="134">
        <f ca="1"/>
        <v>7.8750772215153864E-2</v>
      </c>
    </row>
    <row r="98" spans="2:12">
      <c r="B98" t="str">
        <f ca="1"/>
        <v>Non-Residential Building</v>
      </c>
      <c r="C98" s="33" t="str">
        <f ca="1"/>
        <v>Concrete</v>
      </c>
      <c r="D98" s="43">
        <f ca="1"/>
        <v>46082</v>
      </c>
      <c r="E98" s="138">
        <f ca="1"/>
        <v>5500</v>
      </c>
      <c r="F98" s="112">
        <f ca="1"/>
        <v>0.1</v>
      </c>
      <c r="G98" s="112">
        <f ca="1"/>
        <v>1.1472584695084088E-2</v>
      </c>
      <c r="H98" s="112">
        <f ca="1"/>
        <v>0.6</v>
      </c>
      <c r="I98" s="112">
        <f ca="1"/>
        <v>0.25</v>
      </c>
      <c r="J98" s="133">
        <f ca="1"/>
        <v>0.94648823734443721</v>
      </c>
      <c r="K98" s="96">
        <f ca="1"/>
        <v>550</v>
      </c>
      <c r="L98" s="134">
        <f ca="1"/>
        <v>1.720887704262613E-3</v>
      </c>
    </row>
    <row r="99" spans="2:12">
      <c r="B99" t="str">
        <f ca="1"/>
        <v>Non-Residential Building</v>
      </c>
      <c r="C99" s="33" t="str">
        <f ca="1"/>
        <v>Masonry</v>
      </c>
      <c r="D99" s="43">
        <f ca="1"/>
        <v>46082</v>
      </c>
      <c r="E99" s="138">
        <f ca="1"/>
        <v>5500</v>
      </c>
      <c r="F99" s="112">
        <f ca="1"/>
        <v>0.02</v>
      </c>
      <c r="G99" s="112">
        <f ca="1"/>
        <v>9.8410961434768088E-2</v>
      </c>
      <c r="H99" s="112">
        <f ca="1"/>
        <v>0.6</v>
      </c>
      <c r="I99" s="112">
        <f ca="1"/>
        <v>0.25</v>
      </c>
      <c r="J99" s="133">
        <f ca="1"/>
        <v>1.6237808636736735</v>
      </c>
      <c r="K99" s="96">
        <f ca="1"/>
        <v>110</v>
      </c>
      <c r="L99" s="134">
        <f ca="1"/>
        <v>1.4761644215215213E-2</v>
      </c>
    </row>
    <row r="100" spans="2:12">
      <c r="B100" t="str">
        <f ca="1"/>
        <v>Non-Residential Building</v>
      </c>
      <c r="C100" s="33" t="str">
        <f ca="1"/>
        <v>Wood</v>
      </c>
      <c r="D100" s="43">
        <f ca="1"/>
        <v>46082</v>
      </c>
      <c r="E100" s="138">
        <f ca="1"/>
        <v>5500</v>
      </c>
      <c r="F100" s="112">
        <f ca="1"/>
        <v>1.4999999999999999E-2</v>
      </c>
      <c r="G100" s="112">
        <f ca="1"/>
        <v>0.13840817436677436</v>
      </c>
      <c r="H100" s="112">
        <f ca="1"/>
        <v>0.6</v>
      </c>
      <c r="I100" s="112">
        <f ca="1"/>
        <v>0.25</v>
      </c>
      <c r="J100" s="133">
        <f ca="1"/>
        <v>1.7128011577888325</v>
      </c>
      <c r="K100" s="96">
        <f ca="1"/>
        <v>82.5</v>
      </c>
      <c r="L100" s="134">
        <f ca="1"/>
        <v>2.076122615501615E-2</v>
      </c>
    </row>
    <row r="101" spans="2:12">
      <c r="B101" t="str">
        <f ca="1"/>
        <v>Non-Residential Building</v>
      </c>
      <c r="C101" s="33" t="str">
        <f ca="1"/>
        <v>Electrical wire</v>
      </c>
      <c r="D101" s="43">
        <f ca="1"/>
        <v>46082</v>
      </c>
      <c r="E101" s="138">
        <f ca="1"/>
        <v>5500</v>
      </c>
      <c r="F101" s="112">
        <f ca="1"/>
        <v>0.03</v>
      </c>
      <c r="G101" s="112">
        <f ca="1"/>
        <v>0.80654510583379313</v>
      </c>
      <c r="H101" s="112">
        <f ca="1"/>
        <v>0.6</v>
      </c>
      <c r="I101" s="112">
        <f ca="1"/>
        <v>0.25</v>
      </c>
      <c r="J101" s="133">
        <f ca="1"/>
        <v>19.961991369386379</v>
      </c>
      <c r="K101" s="96">
        <f ca="1"/>
        <v>165</v>
      </c>
      <c r="L101" s="134">
        <f ca="1"/>
        <v>0.12098176587506897</v>
      </c>
    </row>
    <row r="102" spans="2:12">
      <c r="B102" t="str">
        <f ca="1"/>
        <v>Non-Residential Building</v>
      </c>
      <c r="C102" s="33" t="str">
        <f ca="1"/>
        <v>Glass</v>
      </c>
      <c r="D102" s="43">
        <f ca="1"/>
        <v>46082</v>
      </c>
      <c r="E102" s="138">
        <f ca="1"/>
        <v>5500</v>
      </c>
      <c r="F102" s="112">
        <f ca="1"/>
        <v>0.04</v>
      </c>
      <c r="G102" s="112">
        <f ca="1"/>
        <v>0.24210307145623419</v>
      </c>
      <c r="H102" s="112">
        <f ca="1"/>
        <v>0.6</v>
      </c>
      <c r="I102" s="112">
        <f ca="1"/>
        <v>0.25</v>
      </c>
      <c r="J102" s="133">
        <f ca="1"/>
        <v>7.9894013580557282</v>
      </c>
      <c r="K102" s="96">
        <f ca="1"/>
        <v>220</v>
      </c>
      <c r="L102" s="134">
        <f ca="1"/>
        <v>3.6315460718435125E-2</v>
      </c>
    </row>
    <row r="103" spans="2:12">
      <c r="B103" t="str">
        <f ca="1"/>
        <v>Non-Residential Building</v>
      </c>
      <c r="C103" s="33" t="str">
        <f ca="1"/>
        <v>Roofing</v>
      </c>
      <c r="D103" s="43">
        <f ca="1"/>
        <v>46082</v>
      </c>
      <c r="E103" s="138">
        <f ca="1"/>
        <v>5500</v>
      </c>
      <c r="F103" s="112">
        <f ca="1"/>
        <v>0.06</v>
      </c>
      <c r="G103" s="112">
        <f ca="1"/>
        <v>2.4772729573316262E-4</v>
      </c>
      <c r="H103" s="112">
        <f ca="1"/>
        <v>0.6</v>
      </c>
      <c r="I103" s="112">
        <f ca="1"/>
        <v>0.25</v>
      </c>
      <c r="J103" s="133">
        <f ca="1"/>
        <v>1.2262501138791548E-2</v>
      </c>
      <c r="K103" s="96">
        <f ca="1"/>
        <v>330</v>
      </c>
      <c r="L103" s="134">
        <f ca="1"/>
        <v>3.7159094359974391E-5</v>
      </c>
    </row>
    <row r="104" spans="2:12">
      <c r="B104" t="str">
        <f ca="1"/>
        <v>Non-Residential Building</v>
      </c>
      <c r="C104" s="33" t="str">
        <f ca="1"/>
        <v>Interior</v>
      </c>
      <c r="D104" s="43">
        <f ca="1"/>
        <v>46082</v>
      </c>
      <c r="E104" s="138">
        <f ca="1"/>
        <v>5500</v>
      </c>
      <c r="F104" s="112">
        <f ca="1"/>
        <v>0.03</v>
      </c>
      <c r="G104" s="112">
        <f ca="1"/>
        <v>0.54050345117059384</v>
      </c>
      <c r="H104" s="112">
        <f ca="1"/>
        <v>0.6</v>
      </c>
      <c r="I104" s="112">
        <f ca="1"/>
        <v>0.25</v>
      </c>
      <c r="J104" s="133">
        <f ca="1"/>
        <v>13.377460416472198</v>
      </c>
      <c r="K104" s="96">
        <f ca="1"/>
        <v>165</v>
      </c>
      <c r="L104" s="134">
        <f ca="1"/>
        <v>8.1075517675589084E-2</v>
      </c>
    </row>
    <row r="105" spans="2:12">
      <c r="B105" t="str">
        <f ca="1"/>
        <v>Non-Residential Building</v>
      </c>
      <c r="C105" s="33" t="str">
        <f ca="1"/>
        <v>Polyethylene pipes</v>
      </c>
      <c r="D105" s="43">
        <f ca="1"/>
        <v>46082</v>
      </c>
      <c r="E105" s="138">
        <f ca="1"/>
        <v>5500</v>
      </c>
      <c r="F105" s="112">
        <f ca="1"/>
        <v>5.0000000000000001E-3</v>
      </c>
      <c r="G105" s="112">
        <f ca="1"/>
        <v>0.12828361767948987</v>
      </c>
      <c r="H105" s="112">
        <f ca="1"/>
        <v>0.6</v>
      </c>
      <c r="I105" s="112">
        <f ca="1"/>
        <v>0.25</v>
      </c>
      <c r="J105" s="133">
        <f ca="1"/>
        <v>0.52916992292789566</v>
      </c>
      <c r="K105" s="96">
        <f ca="1"/>
        <v>27.5</v>
      </c>
      <c r="L105" s="134">
        <f ca="1"/>
        <v>1.9242542651923478E-2</v>
      </c>
    </row>
    <row r="106" spans="2:12">
      <c r="B106" t="str">
        <f ca="1"/>
        <v>Non-Residential Building</v>
      </c>
      <c r="C106" s="33" t="str">
        <f ca="1"/>
        <v>Plant and equipment</v>
      </c>
      <c r="D106" s="43">
        <f ca="1"/>
        <v>46082</v>
      </c>
      <c r="E106" s="138">
        <f ca="1"/>
        <v>5500</v>
      </c>
      <c r="F106" s="112">
        <f ca="1"/>
        <v>8.5000000000000006E-2</v>
      </c>
      <c r="G106" s="112">
        <f ca="1"/>
        <v>0.31546495432215926</v>
      </c>
      <c r="H106" s="112">
        <f ca="1"/>
        <v>0.8</v>
      </c>
      <c r="I106" s="112">
        <f ca="1"/>
        <v>0.25</v>
      </c>
      <c r="J106" s="133">
        <f ca="1"/>
        <v>29.495973229121894</v>
      </c>
      <c r="K106" s="96">
        <f ca="1"/>
        <v>467.50000000000006</v>
      </c>
      <c r="L106" s="134">
        <f ca="1"/>
        <v>6.3092990864431847E-2</v>
      </c>
    </row>
    <row r="107" spans="2:12">
      <c r="B107" t="str">
        <f ca="1"/>
        <v>Non-Residential Building</v>
      </c>
      <c r="C107" s="33" t="str">
        <f ca="1"/>
        <v>Electrical equipment</v>
      </c>
      <c r="D107" s="43">
        <f ca="1"/>
        <v>46082</v>
      </c>
      <c r="E107" s="138">
        <f ca="1"/>
        <v>5500</v>
      </c>
      <c r="F107" s="112">
        <f ca="1"/>
        <v>0.05</v>
      </c>
      <c r="G107" s="112">
        <f ca="1"/>
        <v>0.48556692694591386</v>
      </c>
      <c r="H107" s="112">
        <f ca="1"/>
        <v>0.8</v>
      </c>
      <c r="I107" s="112">
        <f ca="1"/>
        <v>0.25</v>
      </c>
      <c r="J107" s="133">
        <f ca="1"/>
        <v>26.706180982025263</v>
      </c>
      <c r="K107" s="96">
        <f ca="1"/>
        <v>275</v>
      </c>
      <c r="L107" s="134">
        <f ca="1"/>
        <v>9.711338538918278E-2</v>
      </c>
    </row>
    <row r="108" spans="2:12">
      <c r="B108" t="str">
        <f ca="1"/>
        <v>Non-Residential Building</v>
      </c>
      <c r="C108" s="33" t="str">
        <f ca="1"/>
        <v>Diesel</v>
      </c>
      <c r="D108" s="43">
        <f ca="1"/>
        <v>46082</v>
      </c>
      <c r="E108" s="138">
        <f ca="1"/>
        <v>5500</v>
      </c>
      <c r="F108" s="112">
        <f ca="1"/>
        <v>5.5E-2</v>
      </c>
      <c r="G108" s="112">
        <f ca="1"/>
        <v>0.45356302165418505</v>
      </c>
      <c r="H108" s="112">
        <f ca="1"/>
        <v>0.6</v>
      </c>
      <c r="I108" s="112">
        <f ca="1"/>
        <v>0.1</v>
      </c>
      <c r="J108" s="133">
        <f ca="1"/>
        <v>8.232168843023457</v>
      </c>
      <c r="K108" s="96">
        <f ca="1"/>
        <v>302.5</v>
      </c>
      <c r="L108" s="134">
        <f ca="1"/>
        <v>2.7213781299251099E-2</v>
      </c>
    </row>
    <row r="109" spans="2:12">
      <c r="B109" t="str">
        <f ca="1"/>
        <v>Non-Residential Building</v>
      </c>
      <c r="C109" s="33" t="str">
        <f ca="1"/>
        <v>Labour</v>
      </c>
      <c r="D109" s="43">
        <f ca="1"/>
        <v>46447</v>
      </c>
      <c r="E109" s="138">
        <f ca="1"/>
        <v>5780</v>
      </c>
      <c r="F109" s="112">
        <f ca="1"/>
        <v>0.41499999999999998</v>
      </c>
      <c r="G109" s="112" t="str">
        <f ca="1"/>
        <v>N/A</v>
      </c>
      <c r="H109" s="112" t="str">
        <f ca="1"/>
        <v>N/A</v>
      </c>
      <c r="I109" s="112" t="str">
        <f ca="1"/>
        <v>N/A</v>
      </c>
      <c r="J109" s="133">
        <f ca="1"/>
        <v>0</v>
      </c>
      <c r="K109" s="96">
        <f ca="1"/>
        <v>2398.6999999999998</v>
      </c>
      <c r="L109" s="134">
        <f ca="1"/>
        <v>0</v>
      </c>
    </row>
    <row r="110" spans="2:12">
      <c r="B110" t="str">
        <f ca="1"/>
        <v>Non-Residential Building</v>
      </c>
      <c r="C110" s="33" t="str">
        <f ca="1"/>
        <v>Engineering design</v>
      </c>
      <c r="D110" s="43">
        <f ca="1"/>
        <v>46447</v>
      </c>
      <c r="E110" s="138">
        <f ca="1"/>
        <v>5780</v>
      </c>
      <c r="F110" s="112">
        <f ca="1"/>
        <v>1.4999999999999999E-2</v>
      </c>
      <c r="G110" s="112" t="str">
        <f ca="1"/>
        <v>N/A</v>
      </c>
      <c r="H110" s="112" t="str">
        <f ca="1"/>
        <v>N/A</v>
      </c>
      <c r="I110" s="112" t="str">
        <f ca="1"/>
        <v>N/A</v>
      </c>
      <c r="J110" s="133">
        <f ca="1"/>
        <v>0</v>
      </c>
      <c r="K110" s="96">
        <f ca="1"/>
        <v>86.7</v>
      </c>
      <c r="L110" s="134">
        <f ca="1"/>
        <v>0</v>
      </c>
    </row>
    <row r="111" spans="2:12">
      <c r="B111" t="str">
        <f ca="1"/>
        <v>Non-Residential Building</v>
      </c>
      <c r="C111" s="33" t="str">
        <f ca="1"/>
        <v>Reinforcing bar</v>
      </c>
      <c r="D111" s="43">
        <f ca="1"/>
        <v>46447</v>
      </c>
      <c r="E111" s="138">
        <f ca="1"/>
        <v>5780</v>
      </c>
      <c r="F111" s="112">
        <f ca="1"/>
        <v>0.05</v>
      </c>
      <c r="G111" s="112">
        <f ca="1"/>
        <v>8.4066217963502693E-2</v>
      </c>
      <c r="H111" s="112">
        <f ca="1"/>
        <v>0.6</v>
      </c>
      <c r="I111" s="112">
        <f ca="1"/>
        <v>0.25</v>
      </c>
      <c r="J111" s="133">
        <f ca="1"/>
        <v>3.6442705487178415</v>
      </c>
      <c r="K111" s="96">
        <f ca="1"/>
        <v>289</v>
      </c>
      <c r="L111" s="134">
        <f ca="1"/>
        <v>1.2609932694525403E-2</v>
      </c>
    </row>
    <row r="112" spans="2:12">
      <c r="B112" t="str">
        <f ca="1"/>
        <v>Non-Residential Building</v>
      </c>
      <c r="C112" s="33" t="str">
        <f ca="1"/>
        <v>Structural steel</v>
      </c>
      <c r="D112" s="43">
        <f ca="1"/>
        <v>46447</v>
      </c>
      <c r="E112" s="138">
        <f ca="1"/>
        <v>5780</v>
      </c>
      <c r="F112" s="112">
        <f ca="1"/>
        <v>0.03</v>
      </c>
      <c r="G112" s="112">
        <f ca="1"/>
        <v>0.52500514810102583</v>
      </c>
      <c r="H112" s="112">
        <f ca="1"/>
        <v>0.6</v>
      </c>
      <c r="I112" s="112">
        <f ca="1"/>
        <v>0.25</v>
      </c>
      <c r="J112" s="133">
        <f ca="1"/>
        <v>13.655383902107681</v>
      </c>
      <c r="K112" s="96">
        <f ca="1"/>
        <v>173.4</v>
      </c>
      <c r="L112" s="134">
        <f ca="1"/>
        <v>7.8750772215153864E-2</v>
      </c>
    </row>
    <row r="113" spans="2:12">
      <c r="B113" t="str">
        <f ca="1"/>
        <v>Non-Residential Building</v>
      </c>
      <c r="C113" s="33" t="str">
        <f ca="1"/>
        <v>Concrete</v>
      </c>
      <c r="D113" s="43">
        <f ca="1"/>
        <v>46447</v>
      </c>
      <c r="E113" s="138">
        <f ca="1"/>
        <v>5780</v>
      </c>
      <c r="F113" s="112">
        <f ca="1"/>
        <v>0.1</v>
      </c>
      <c r="G113" s="112">
        <f ca="1"/>
        <v>1.1472584695084088E-2</v>
      </c>
      <c r="H113" s="112">
        <f ca="1"/>
        <v>0.6</v>
      </c>
      <c r="I113" s="112">
        <f ca="1"/>
        <v>0.25</v>
      </c>
      <c r="J113" s="133">
        <f ca="1"/>
        <v>0.99467309306379037</v>
      </c>
      <c r="K113" s="96">
        <f ca="1"/>
        <v>578</v>
      </c>
      <c r="L113" s="134">
        <f ca="1"/>
        <v>1.720887704262613E-3</v>
      </c>
    </row>
    <row r="114" spans="2:12">
      <c r="B114" t="str">
        <f ca="1"/>
        <v>Non-Residential Building</v>
      </c>
      <c r="C114" s="33" t="str">
        <f ca="1"/>
        <v>Masonry</v>
      </c>
      <c r="D114" s="43">
        <f ca="1"/>
        <v>46447</v>
      </c>
      <c r="E114" s="138">
        <f ca="1"/>
        <v>5780</v>
      </c>
      <c r="F114" s="112">
        <f ca="1"/>
        <v>0.02</v>
      </c>
      <c r="G114" s="112">
        <f ca="1"/>
        <v>9.8410961434768088E-2</v>
      </c>
      <c r="H114" s="112">
        <f ca="1"/>
        <v>0.6</v>
      </c>
      <c r="I114" s="112">
        <f ca="1"/>
        <v>0.25</v>
      </c>
      <c r="J114" s="133">
        <f ca="1"/>
        <v>1.7064460712788787</v>
      </c>
      <c r="K114" s="96">
        <f ca="1"/>
        <v>115.60000000000001</v>
      </c>
      <c r="L114" s="134">
        <f ca="1"/>
        <v>1.4761644215215213E-2</v>
      </c>
    </row>
    <row r="115" spans="2:12">
      <c r="B115" t="str">
        <f ca="1"/>
        <v>Non-Residential Building</v>
      </c>
      <c r="C115" s="33" t="str">
        <f ca="1"/>
        <v>Wood</v>
      </c>
      <c r="D115" s="43">
        <f ca="1"/>
        <v>46447</v>
      </c>
      <c r="E115" s="138">
        <f ca="1"/>
        <v>5780</v>
      </c>
      <c r="F115" s="112">
        <f ca="1"/>
        <v>1.4999999999999999E-2</v>
      </c>
      <c r="G115" s="112">
        <f ca="1"/>
        <v>0.13840817436677436</v>
      </c>
      <c r="H115" s="112">
        <f ca="1"/>
        <v>0.6</v>
      </c>
      <c r="I115" s="112">
        <f ca="1"/>
        <v>0.25</v>
      </c>
      <c r="J115" s="133">
        <f ca="1"/>
        <v>1.7999983076399004</v>
      </c>
      <c r="K115" s="96">
        <f ca="1"/>
        <v>86.7</v>
      </c>
      <c r="L115" s="134">
        <f ca="1"/>
        <v>2.0761226155016153E-2</v>
      </c>
    </row>
    <row r="116" spans="2:12">
      <c r="B116" t="str">
        <f ca="1"/>
        <v>Non-Residential Building</v>
      </c>
      <c r="C116" s="33" t="str">
        <f ca="1"/>
        <v>Electrical wire</v>
      </c>
      <c r="D116" s="43">
        <f ca="1"/>
        <v>46447</v>
      </c>
      <c r="E116" s="138">
        <f ca="1"/>
        <v>5780</v>
      </c>
      <c r="F116" s="112">
        <f ca="1"/>
        <v>0.03</v>
      </c>
      <c r="G116" s="112">
        <f ca="1"/>
        <v>0.80654510583379313</v>
      </c>
      <c r="H116" s="112">
        <f ca="1"/>
        <v>0.6</v>
      </c>
      <c r="I116" s="112">
        <f ca="1"/>
        <v>0.25</v>
      </c>
      <c r="J116" s="133">
        <f ca="1"/>
        <v>20.978238202736957</v>
      </c>
      <c r="K116" s="96">
        <f ca="1"/>
        <v>173.4</v>
      </c>
      <c r="L116" s="134">
        <f ca="1"/>
        <v>0.12098176587506895</v>
      </c>
    </row>
    <row r="117" spans="2:12">
      <c r="B117" t="str">
        <f ca="1"/>
        <v>Non-Residential Building</v>
      </c>
      <c r="C117" s="33" t="str">
        <f ca="1"/>
        <v>Glass</v>
      </c>
      <c r="D117" s="43">
        <f ca="1"/>
        <v>46447</v>
      </c>
      <c r="E117" s="138">
        <f ca="1"/>
        <v>5780</v>
      </c>
      <c r="F117" s="112">
        <f ca="1"/>
        <v>0.04</v>
      </c>
      <c r="G117" s="112">
        <f ca="1"/>
        <v>0.24210307145623419</v>
      </c>
      <c r="H117" s="112">
        <f ca="1"/>
        <v>0.6</v>
      </c>
      <c r="I117" s="112">
        <f ca="1"/>
        <v>0.25</v>
      </c>
      <c r="J117" s="133">
        <f ca="1"/>
        <v>8.3961345181022011</v>
      </c>
      <c r="K117" s="96">
        <f ca="1"/>
        <v>231.20000000000002</v>
      </c>
      <c r="L117" s="134">
        <f ca="1"/>
        <v>3.6315460718435125E-2</v>
      </c>
    </row>
    <row r="118" spans="2:12">
      <c r="B118" t="str">
        <f ca="1"/>
        <v>Non-Residential Building</v>
      </c>
      <c r="C118" s="33" t="str">
        <f ca="1"/>
        <v>Roofing</v>
      </c>
      <c r="D118" s="43">
        <f ca="1"/>
        <v>46447</v>
      </c>
      <c r="E118" s="138">
        <f ca="1"/>
        <v>5780</v>
      </c>
      <c r="F118" s="112">
        <f ca="1"/>
        <v>0.06</v>
      </c>
      <c r="G118" s="112">
        <f ca="1"/>
        <v>2.4772729573316262E-4</v>
      </c>
      <c r="H118" s="112">
        <f ca="1"/>
        <v>0.6</v>
      </c>
      <c r="I118" s="112">
        <f ca="1"/>
        <v>0.25</v>
      </c>
      <c r="J118" s="133">
        <f ca="1"/>
        <v>1.288677392403912E-2</v>
      </c>
      <c r="K118" s="96">
        <f ca="1"/>
        <v>346.8</v>
      </c>
      <c r="L118" s="134">
        <f ca="1"/>
        <v>3.7159094359974391E-5</v>
      </c>
    </row>
    <row r="119" spans="2:12">
      <c r="B119" t="str">
        <f ca="1"/>
        <v>Non-Residential Building</v>
      </c>
      <c r="C119" s="33" t="str">
        <f ca="1"/>
        <v>Interior</v>
      </c>
      <c r="D119" s="43">
        <f ca="1"/>
        <v>46447</v>
      </c>
      <c r="E119" s="138">
        <f ca="1"/>
        <v>5780</v>
      </c>
      <c r="F119" s="112">
        <f ca="1"/>
        <v>0.03</v>
      </c>
      <c r="G119" s="112">
        <f ca="1"/>
        <v>0.54050345117059384</v>
      </c>
      <c r="H119" s="112">
        <f ca="1"/>
        <v>0.6</v>
      </c>
      <c r="I119" s="112">
        <f ca="1"/>
        <v>0.25</v>
      </c>
      <c r="J119" s="133">
        <f ca="1"/>
        <v>14.058494764947145</v>
      </c>
      <c r="K119" s="96">
        <f ca="1"/>
        <v>173.4</v>
      </c>
      <c r="L119" s="134">
        <f ca="1"/>
        <v>8.1075517675589071E-2</v>
      </c>
    </row>
    <row r="120" spans="2:12">
      <c r="B120" t="str">
        <f ca="1"/>
        <v>Non-Residential Building</v>
      </c>
      <c r="C120" s="33" t="str">
        <f ca="1"/>
        <v>Polyethylene pipes</v>
      </c>
      <c r="D120" s="43">
        <f ca="1"/>
        <v>46447</v>
      </c>
      <c r="E120" s="138">
        <f ca="1"/>
        <v>5780</v>
      </c>
      <c r="F120" s="112">
        <f ca="1"/>
        <v>5.0000000000000001E-3</v>
      </c>
      <c r="G120" s="112">
        <f ca="1"/>
        <v>0.12828361767948987</v>
      </c>
      <c r="H120" s="112">
        <f ca="1"/>
        <v>0.6</v>
      </c>
      <c r="I120" s="112">
        <f ca="1"/>
        <v>0.25</v>
      </c>
      <c r="J120" s="133">
        <f ca="1"/>
        <v>0.55610948264058868</v>
      </c>
      <c r="K120" s="96">
        <f ca="1"/>
        <v>28.900000000000002</v>
      </c>
      <c r="L120" s="134">
        <f ca="1"/>
        <v>1.9242542651923482E-2</v>
      </c>
    </row>
    <row r="121" spans="2:12">
      <c r="B121" t="str">
        <f ca="1"/>
        <v>Non-Residential Building</v>
      </c>
      <c r="C121" s="33" t="str">
        <f ca="1"/>
        <v>Plant and equipment</v>
      </c>
      <c r="D121" s="43">
        <f ca="1"/>
        <v>46447</v>
      </c>
      <c r="E121" s="138">
        <f ca="1"/>
        <v>5780</v>
      </c>
      <c r="F121" s="112">
        <f ca="1"/>
        <v>8.5000000000000006E-2</v>
      </c>
      <c r="G121" s="112">
        <f ca="1"/>
        <v>0.31546495432215926</v>
      </c>
      <c r="H121" s="112">
        <f ca="1"/>
        <v>0.8</v>
      </c>
      <c r="I121" s="112">
        <f ca="1"/>
        <v>0.25</v>
      </c>
      <c r="J121" s="133">
        <f ca="1"/>
        <v>30.997586411695369</v>
      </c>
      <c r="K121" s="96">
        <f ca="1"/>
        <v>491.3</v>
      </c>
      <c r="L121" s="134">
        <f ca="1"/>
        <v>6.3092990864431847E-2</v>
      </c>
    </row>
    <row r="122" spans="2:12">
      <c r="B122" t="str">
        <f ca="1"/>
        <v>Non-Residential Building</v>
      </c>
      <c r="C122" s="33" t="str">
        <f ca="1"/>
        <v>Electrical equipment</v>
      </c>
      <c r="D122" s="43">
        <f ca="1"/>
        <v>46447</v>
      </c>
      <c r="E122" s="138">
        <f ca="1"/>
        <v>5780</v>
      </c>
      <c r="F122" s="112">
        <f ca="1"/>
        <v>0.05</v>
      </c>
      <c r="G122" s="112">
        <f ca="1"/>
        <v>0.48556692694591386</v>
      </c>
      <c r="H122" s="112">
        <f ca="1"/>
        <v>0.8</v>
      </c>
      <c r="I122" s="112">
        <f ca="1"/>
        <v>0.25</v>
      </c>
      <c r="J122" s="133">
        <f ca="1"/>
        <v>28.06576837747382</v>
      </c>
      <c r="K122" s="96">
        <f ca="1"/>
        <v>289</v>
      </c>
      <c r="L122" s="134">
        <f ca="1"/>
        <v>9.7113385389182766E-2</v>
      </c>
    </row>
    <row r="123" spans="2:12">
      <c r="B123" t="str">
        <f ca="1"/>
        <v>Non-Residential Building</v>
      </c>
      <c r="C123" s="33" t="str">
        <f ca="1"/>
        <v>Diesel</v>
      </c>
      <c r="D123" s="43">
        <f ca="1"/>
        <v>46447</v>
      </c>
      <c r="E123" s="138">
        <f ca="1"/>
        <v>5780</v>
      </c>
      <c r="F123" s="112">
        <f ca="1"/>
        <v>5.5E-2</v>
      </c>
      <c r="G123" s="112">
        <f ca="1"/>
        <v>0.45356302165418505</v>
      </c>
      <c r="H123" s="112">
        <f ca="1"/>
        <v>0.6</v>
      </c>
      <c r="I123" s="112">
        <f ca="1"/>
        <v>0.1</v>
      </c>
      <c r="J123" s="133">
        <f ca="1"/>
        <v>8.6512610750319237</v>
      </c>
      <c r="K123" s="96">
        <f ca="1"/>
        <v>317.89999999999998</v>
      </c>
      <c r="L123" s="134">
        <f ca="1"/>
        <v>2.7213781299251099E-2</v>
      </c>
    </row>
    <row r="124" spans="2:12">
      <c r="B124" t="str">
        <f ca="1"/>
        <v>Roads</v>
      </c>
      <c r="C124" s="33" t="str">
        <f ca="1"/>
        <v>Labour</v>
      </c>
      <c r="D124" s="43">
        <f ca="1"/>
        <v>46082</v>
      </c>
      <c r="E124" s="138">
        <f ca="1"/>
        <v>9657</v>
      </c>
      <c r="F124" s="112">
        <f ca="1"/>
        <v>0.375</v>
      </c>
      <c r="G124" s="112" t="str">
        <f ca="1"/>
        <v>N/A</v>
      </c>
      <c r="H124" s="112" t="str">
        <f ca="1"/>
        <v>N/A</v>
      </c>
      <c r="I124" s="112" t="str">
        <f ca="1"/>
        <v>N/A</v>
      </c>
      <c r="J124" s="133">
        <f ca="1"/>
        <v>0</v>
      </c>
      <c r="K124" s="96">
        <f ca="1"/>
        <v>3621.375</v>
      </c>
      <c r="L124" s="134">
        <f ca="1"/>
        <v>0</v>
      </c>
    </row>
    <row r="125" spans="2:12">
      <c r="B125" t="str">
        <f ca="1"/>
        <v>Roads</v>
      </c>
      <c r="C125" s="33" t="str">
        <f ca="1"/>
        <v>Engineering design</v>
      </c>
      <c r="D125" s="43">
        <f ca="1"/>
        <v>46082</v>
      </c>
      <c r="E125" s="138">
        <f ca="1"/>
        <v>9657</v>
      </c>
      <c r="F125" s="112">
        <f ca="1"/>
        <v>0.2</v>
      </c>
      <c r="G125" s="112" t="str">
        <f ca="1"/>
        <v>N/A</v>
      </c>
      <c r="H125" s="112" t="str">
        <f ca="1"/>
        <v>N/A</v>
      </c>
      <c r="I125" s="112" t="str">
        <f ca="1"/>
        <v>N/A</v>
      </c>
      <c r="J125" s="133">
        <f ca="1"/>
        <v>0</v>
      </c>
      <c r="K125" s="96">
        <f ca="1"/>
        <v>1931.4</v>
      </c>
      <c r="L125" s="134">
        <f ca="1"/>
        <v>0</v>
      </c>
    </row>
    <row r="126" spans="2:12">
      <c r="B126" t="str">
        <f ca="1"/>
        <v>Roads</v>
      </c>
      <c r="C126" s="33" t="str">
        <f ca="1"/>
        <v>Reinforcing bar</v>
      </c>
      <c r="D126" s="43">
        <f ca="1"/>
        <v>46082</v>
      </c>
      <c r="E126" s="138">
        <f ca="1"/>
        <v>9657</v>
      </c>
      <c r="F126" s="112">
        <f ca="1"/>
        <v>2.5000000000000001E-2</v>
      </c>
      <c r="G126" s="112">
        <f ca="1"/>
        <v>8.4066217963502693E-2</v>
      </c>
      <c r="H126" s="112">
        <f ca="1"/>
        <v>0.6</v>
      </c>
      <c r="I126" s="112">
        <f ca="1"/>
        <v>0.25</v>
      </c>
      <c r="J126" s="133">
        <f ca="1"/>
        <v>3.0443530007757955</v>
      </c>
      <c r="K126" s="96">
        <f ca="1"/>
        <v>241.42500000000001</v>
      </c>
      <c r="L126" s="134">
        <f ca="1"/>
        <v>1.2609932694525403E-2</v>
      </c>
    </row>
    <row r="127" spans="2:12">
      <c r="B127" t="str">
        <f ca="1"/>
        <v>Roads</v>
      </c>
      <c r="C127" s="33" t="str">
        <f ca="1"/>
        <v>Quarry Material</v>
      </c>
      <c r="D127" s="43">
        <f ca="1"/>
        <v>46082</v>
      </c>
      <c r="E127" s="138">
        <f ca="1"/>
        <v>9657</v>
      </c>
      <c r="F127" s="112">
        <f ca="1"/>
        <v>0.04</v>
      </c>
      <c r="G127" s="112">
        <f ca="1"/>
        <v>9.1004090556242881E-2</v>
      </c>
      <c r="H127" s="112">
        <f ca="1"/>
        <v>0.6</v>
      </c>
      <c r="I127" s="112">
        <f ca="1"/>
        <v>0.25</v>
      </c>
      <c r="J127" s="133">
        <f ca="1"/>
        <v>5.2729590150098256</v>
      </c>
      <c r="K127" s="96">
        <f ca="1"/>
        <v>386.28000000000003</v>
      </c>
      <c r="L127" s="134">
        <f ca="1"/>
        <v>1.3650613583436432E-2</v>
      </c>
    </row>
    <row r="128" spans="2:12">
      <c r="B128" t="str">
        <f ca="1"/>
        <v>Roads</v>
      </c>
      <c r="C128" s="33" t="str">
        <f ca="1"/>
        <v>Concrete</v>
      </c>
      <c r="D128" s="43">
        <f ca="1"/>
        <v>46082</v>
      </c>
      <c r="E128" s="138">
        <f ca="1"/>
        <v>9657</v>
      </c>
      <c r="F128" s="112">
        <f ca="1"/>
        <v>0.05</v>
      </c>
      <c r="G128" s="112">
        <f ca="1"/>
        <v>1.1472584695084088E-2</v>
      </c>
      <c r="H128" s="112">
        <f ca="1"/>
        <v>0.6</v>
      </c>
      <c r="I128" s="112">
        <f ca="1"/>
        <v>0.25</v>
      </c>
      <c r="J128" s="133">
        <f ca="1"/>
        <v>0.83093062800320283</v>
      </c>
      <c r="K128" s="96">
        <f ca="1"/>
        <v>482.85</v>
      </c>
      <c r="L128" s="134">
        <f ca="1"/>
        <v>1.7208877042626132E-3</v>
      </c>
    </row>
    <row r="129" spans="2:12">
      <c r="B129" t="str">
        <f ca="1"/>
        <v>Roads</v>
      </c>
      <c r="C129" s="33" t="str">
        <f ca="1"/>
        <v>Electrical wire</v>
      </c>
      <c r="D129" s="43">
        <f ca="1"/>
        <v>46082</v>
      </c>
      <c r="E129" s="138">
        <f ca="1"/>
        <v>9657</v>
      </c>
      <c r="F129" s="112">
        <f ca="1"/>
        <v>0.02</v>
      </c>
      <c r="G129" s="112">
        <f ca="1"/>
        <v>0.80654510583379313</v>
      </c>
      <c r="H129" s="112">
        <f ca="1"/>
        <v>0.6</v>
      </c>
      <c r="I129" s="112">
        <f ca="1"/>
        <v>0.25</v>
      </c>
      <c r="J129" s="133">
        <f ca="1"/>
        <v>23.366418261110823</v>
      </c>
      <c r="K129" s="96">
        <f ca="1"/>
        <v>193.14000000000001</v>
      </c>
      <c r="L129" s="134">
        <f ca="1"/>
        <v>0.12098176587506897</v>
      </c>
    </row>
    <row r="130" spans="2:12">
      <c r="B130" t="str">
        <f ca="1"/>
        <v>Roads</v>
      </c>
      <c r="C130" s="33" t="str">
        <f ca="1"/>
        <v>Bitumen</v>
      </c>
      <c r="D130" s="43">
        <f ca="1"/>
        <v>46082</v>
      </c>
      <c r="E130" s="138">
        <f ca="1"/>
        <v>9657</v>
      </c>
      <c r="F130" s="112">
        <f ca="1"/>
        <v>0.13500000000000001</v>
      </c>
      <c r="G130" s="112">
        <f ca="1"/>
        <v>0.14985905317691026</v>
      </c>
      <c r="H130" s="112">
        <f ca="1"/>
        <v>0.6</v>
      </c>
      <c r="I130" s="112">
        <f ca="1"/>
        <v>0.25</v>
      </c>
      <c r="J130" s="133">
        <f ca="1"/>
        <v>29.305574749720805</v>
      </c>
      <c r="K130" s="96">
        <f ca="1"/>
        <v>1303.6950000000002</v>
      </c>
      <c r="L130" s="134">
        <f ca="1"/>
        <v>2.2478857976536537E-2</v>
      </c>
    </row>
    <row r="131" spans="2:12">
      <c r="B131" t="str">
        <f ca="1"/>
        <v>Roads</v>
      </c>
      <c r="C131" s="33" t="str">
        <f ca="1"/>
        <v>Plant and equipment</v>
      </c>
      <c r="D131" s="43">
        <f ca="1"/>
        <v>46082</v>
      </c>
      <c r="E131" s="138">
        <f ca="1"/>
        <v>9657</v>
      </c>
      <c r="F131" s="112">
        <f ca="1"/>
        <v>7.4999999999999997E-2</v>
      </c>
      <c r="G131" s="112">
        <f ca="1"/>
        <v>0.31546495432215926</v>
      </c>
      <c r="H131" s="112">
        <f ca="1"/>
        <v>0.8</v>
      </c>
      <c r="I131" s="112">
        <f ca="1"/>
        <v>0.25</v>
      </c>
      <c r="J131" s="133">
        <f ca="1"/>
        <v>45.696675958336385</v>
      </c>
      <c r="K131" s="96">
        <f ca="1"/>
        <v>724.27499999999998</v>
      </c>
      <c r="L131" s="134">
        <f ca="1"/>
        <v>6.3092990864431861E-2</v>
      </c>
    </row>
    <row r="132" spans="2:12">
      <c r="B132" t="str">
        <f ca="1"/>
        <v>Roads</v>
      </c>
      <c r="C132" s="33" t="str">
        <f ca="1"/>
        <v>Road equipment</v>
      </c>
      <c r="D132" s="43">
        <f ca="1"/>
        <v>46082</v>
      </c>
      <c r="E132" s="138">
        <f ca="1"/>
        <v>9657</v>
      </c>
      <c r="F132" s="112">
        <f ca="1"/>
        <v>0.02</v>
      </c>
      <c r="G132" s="112">
        <f ca="1"/>
        <v>0.23440288076987165</v>
      </c>
      <c r="H132" s="112">
        <f ca="1"/>
        <v>0.8</v>
      </c>
      <c r="I132" s="112">
        <f ca="1"/>
        <v>0.25</v>
      </c>
      <c r="J132" s="133">
        <f ca="1"/>
        <v>9.0545144783786036</v>
      </c>
      <c r="K132" s="96">
        <f ca="1"/>
        <v>193.14000000000001</v>
      </c>
      <c r="L132" s="134">
        <f ca="1"/>
        <v>4.6880576153974333E-2</v>
      </c>
    </row>
    <row r="133" spans="2:12">
      <c r="B133" t="str">
        <f ca="1"/>
        <v>Roads</v>
      </c>
      <c r="C133" s="33" t="str">
        <f ca="1"/>
        <v>Diesel</v>
      </c>
      <c r="D133" s="43">
        <f ca="1"/>
        <v>46082</v>
      </c>
      <c r="E133" s="138">
        <f ca="1"/>
        <v>9657</v>
      </c>
      <c r="F133" s="112">
        <f ca="1"/>
        <v>0.06</v>
      </c>
      <c r="G133" s="112">
        <f ca="1"/>
        <v>0.45356302165418505</v>
      </c>
      <c r="H133" s="112">
        <f ca="1"/>
        <v>0.6</v>
      </c>
      <c r="I133" s="112">
        <f ca="1"/>
        <v>0.1</v>
      </c>
      <c r="J133" s="133">
        <f ca="1"/>
        <v>15.768209160412074</v>
      </c>
      <c r="K133" s="96">
        <f ca="1"/>
        <v>579.41999999999996</v>
      </c>
      <c r="L133" s="134">
        <f ca="1"/>
        <v>2.7213781299251102E-2</v>
      </c>
    </row>
    <row r="134" spans="2:12">
      <c r="B134" t="str">
        <f ca="1"/>
        <v>Roads</v>
      </c>
      <c r="C134" s="33" t="str">
        <f ca="1"/>
        <v>Labour</v>
      </c>
      <c r="D134" s="43">
        <f ca="1"/>
        <v>46447</v>
      </c>
      <c r="E134" s="138">
        <f ca="1"/>
        <v>10149</v>
      </c>
      <c r="F134" s="112">
        <f ca="1"/>
        <v>0.375</v>
      </c>
      <c r="G134" s="112" t="str">
        <f ca="1"/>
        <v>N/A</v>
      </c>
      <c r="H134" s="112" t="str">
        <f ca="1"/>
        <v>N/A</v>
      </c>
      <c r="I134" s="112" t="str">
        <f ca="1"/>
        <v>N/A</v>
      </c>
      <c r="J134" s="133">
        <f ca="1"/>
        <v>0</v>
      </c>
      <c r="K134" s="96">
        <f ca="1"/>
        <v>3805.875</v>
      </c>
      <c r="L134" s="134">
        <f ca="1"/>
        <v>0</v>
      </c>
    </row>
    <row r="135" spans="2:12">
      <c r="B135" t="str">
        <f ca="1"/>
        <v>Roads</v>
      </c>
      <c r="C135" s="33" t="str">
        <f ca="1"/>
        <v>Engineering design</v>
      </c>
      <c r="D135" s="43">
        <f ca="1"/>
        <v>46447</v>
      </c>
      <c r="E135" s="138">
        <f ca="1"/>
        <v>10149</v>
      </c>
      <c r="F135" s="112">
        <f ca="1"/>
        <v>0.2</v>
      </c>
      <c r="G135" s="112" t="str">
        <f ca="1"/>
        <v>N/A</v>
      </c>
      <c r="H135" s="112" t="str">
        <f ca="1"/>
        <v>N/A</v>
      </c>
      <c r="I135" s="112" t="str">
        <f ca="1"/>
        <v>N/A</v>
      </c>
      <c r="J135" s="133">
        <f ca="1"/>
        <v>0</v>
      </c>
      <c r="K135" s="96">
        <f ca="1"/>
        <v>2029.8000000000002</v>
      </c>
      <c r="L135" s="134">
        <f ca="1"/>
        <v>0</v>
      </c>
    </row>
    <row r="136" spans="2:12">
      <c r="B136" t="str">
        <f ca="1"/>
        <v>Roads</v>
      </c>
      <c r="C136" s="33" t="str">
        <f ca="1"/>
        <v>Reinforcing bar</v>
      </c>
      <c r="D136" s="43">
        <f ca="1"/>
        <v>46447</v>
      </c>
      <c r="E136" s="138">
        <f ca="1"/>
        <v>10149</v>
      </c>
      <c r="F136" s="112">
        <f ca="1"/>
        <v>2.5000000000000001E-2</v>
      </c>
      <c r="G136" s="112">
        <f ca="1"/>
        <v>8.4066217963502693E-2</v>
      </c>
      <c r="H136" s="112">
        <f ca="1"/>
        <v>0.6</v>
      </c>
      <c r="I136" s="112">
        <f ca="1"/>
        <v>0.25</v>
      </c>
      <c r="J136" s="133">
        <f ca="1"/>
        <v>3.1994551729184586</v>
      </c>
      <c r="K136" s="96">
        <f ca="1"/>
        <v>253.72500000000002</v>
      </c>
      <c r="L136" s="134">
        <f ca="1"/>
        <v>1.2609932694525405E-2</v>
      </c>
    </row>
    <row r="137" spans="2:12">
      <c r="B137" t="str">
        <f ca="1"/>
        <v>Roads</v>
      </c>
      <c r="C137" s="33" t="str">
        <f ca="1"/>
        <v>Quarry Material</v>
      </c>
      <c r="D137" s="43">
        <f ca="1"/>
        <v>46447</v>
      </c>
      <c r="E137" s="138">
        <f ca="1"/>
        <v>10149</v>
      </c>
      <c r="F137" s="112">
        <f ca="1"/>
        <v>0.04</v>
      </c>
      <c r="G137" s="112">
        <f ca="1"/>
        <v>9.1004090556242881E-2</v>
      </c>
      <c r="H137" s="112">
        <f ca="1"/>
        <v>0.6</v>
      </c>
      <c r="I137" s="112">
        <f ca="1"/>
        <v>0.25</v>
      </c>
      <c r="J137" s="133">
        <f ca="1"/>
        <v>5.5416030903318543</v>
      </c>
      <c r="K137" s="96">
        <f ca="1"/>
        <v>405.96000000000004</v>
      </c>
      <c r="L137" s="134">
        <f ca="1"/>
        <v>1.3650613583436432E-2</v>
      </c>
    </row>
    <row r="138" spans="2:12">
      <c r="B138" t="str">
        <f ca="1"/>
        <v>Roads</v>
      </c>
      <c r="C138" s="33" t="str">
        <f ca="1"/>
        <v>Concrete</v>
      </c>
      <c r="D138" s="43">
        <f ca="1"/>
        <v>46447</v>
      </c>
      <c r="E138" s="138">
        <f ca="1"/>
        <v>10149</v>
      </c>
      <c r="F138" s="112">
        <f ca="1"/>
        <v>0.05</v>
      </c>
      <c r="G138" s="112">
        <f ca="1"/>
        <v>1.1472584695084088E-2</v>
      </c>
      <c r="H138" s="112">
        <f ca="1"/>
        <v>0.6</v>
      </c>
      <c r="I138" s="112">
        <f ca="1"/>
        <v>0.25</v>
      </c>
      <c r="J138" s="133">
        <f ca="1"/>
        <v>0.87326446552806314</v>
      </c>
      <c r="K138" s="96">
        <f ca="1"/>
        <v>507.45000000000005</v>
      </c>
      <c r="L138" s="134">
        <f ca="1"/>
        <v>1.7208877042626132E-3</v>
      </c>
    </row>
    <row r="139" spans="2:12">
      <c r="B139" t="str">
        <f ca="1"/>
        <v>Roads</v>
      </c>
      <c r="C139" s="33" t="str">
        <f ca="1"/>
        <v>Electrical wire</v>
      </c>
      <c r="D139" s="43">
        <f ca="1"/>
        <v>46447</v>
      </c>
      <c r="E139" s="138">
        <f ca="1"/>
        <v>10149</v>
      </c>
      <c r="F139" s="112">
        <f ca="1"/>
        <v>0.02</v>
      </c>
      <c r="G139" s="112">
        <f ca="1"/>
        <v>0.80654510583379313</v>
      </c>
      <c r="H139" s="112">
        <f ca="1"/>
        <v>0.6</v>
      </c>
      <c r="I139" s="112">
        <f ca="1"/>
        <v>0.25</v>
      </c>
      <c r="J139" s="133">
        <f ca="1"/>
        <v>24.556878837321502</v>
      </c>
      <c r="K139" s="96">
        <f ca="1"/>
        <v>202.98000000000002</v>
      </c>
      <c r="L139" s="134">
        <f ca="1"/>
        <v>0.12098176587506897</v>
      </c>
    </row>
    <row r="140" spans="2:12">
      <c r="B140" t="str">
        <f ca="1"/>
        <v>Roads</v>
      </c>
      <c r="C140" s="33" t="str">
        <f ca="1"/>
        <v>Bitumen</v>
      </c>
      <c r="D140" s="43">
        <f ca="1"/>
        <v>46447</v>
      </c>
      <c r="E140" s="138">
        <f ca="1"/>
        <v>10149</v>
      </c>
      <c r="F140" s="112">
        <f ca="1"/>
        <v>0.13500000000000001</v>
      </c>
      <c r="G140" s="112">
        <f ca="1"/>
        <v>0.14985905317691026</v>
      </c>
      <c r="H140" s="112">
        <f ca="1"/>
        <v>0.6</v>
      </c>
      <c r="I140" s="112">
        <f ca="1"/>
        <v>0.25</v>
      </c>
      <c r="J140" s="133">
        <f ca="1"/>
        <v>30.798620496522361</v>
      </c>
      <c r="K140" s="96">
        <f ca="1"/>
        <v>1370.115</v>
      </c>
      <c r="L140" s="134">
        <f ca="1"/>
        <v>2.2478857976536541E-2</v>
      </c>
    </row>
    <row r="141" spans="2:12">
      <c r="B141" t="str">
        <f ca="1"/>
        <v>Roads</v>
      </c>
      <c r="C141" s="33" t="str">
        <f ca="1"/>
        <v>Plant and equipment</v>
      </c>
      <c r="D141" s="43">
        <f ca="1"/>
        <v>46447</v>
      </c>
      <c r="E141" s="138">
        <f ca="1"/>
        <v>10149</v>
      </c>
      <c r="F141" s="112">
        <f ca="1"/>
        <v>7.4999999999999997E-2</v>
      </c>
      <c r="G141" s="112">
        <f ca="1"/>
        <v>0.31546495432215926</v>
      </c>
      <c r="H141" s="112">
        <f ca="1"/>
        <v>0.8</v>
      </c>
      <c r="I141" s="112">
        <f ca="1"/>
        <v>0.25</v>
      </c>
      <c r="J141" s="133">
        <f ca="1"/>
        <v>48.024807321233915</v>
      </c>
      <c r="K141" s="96">
        <f ca="1"/>
        <v>761.17499999999995</v>
      </c>
      <c r="L141" s="134">
        <f ca="1"/>
        <v>6.3092990864431861E-2</v>
      </c>
    </row>
    <row r="142" spans="2:12">
      <c r="B142" t="str">
        <f ca="1"/>
        <v>Roads</v>
      </c>
      <c r="C142" s="33" t="str">
        <f ca="1"/>
        <v>Road equipment</v>
      </c>
      <c r="D142" s="43">
        <f ca="1"/>
        <v>46447</v>
      </c>
      <c r="E142" s="138">
        <f ca="1"/>
        <v>10149</v>
      </c>
      <c r="F142" s="112">
        <f ca="1"/>
        <v>0.02</v>
      </c>
      <c r="G142" s="112">
        <f ca="1"/>
        <v>0.23440288076987165</v>
      </c>
      <c r="H142" s="112">
        <f ca="1"/>
        <v>0.8</v>
      </c>
      <c r="I142" s="112">
        <f ca="1"/>
        <v>0.25</v>
      </c>
      <c r="J142" s="133">
        <f ca="1"/>
        <v>9.5158193477337107</v>
      </c>
      <c r="K142" s="96">
        <f ca="1"/>
        <v>202.98000000000002</v>
      </c>
      <c r="L142" s="134">
        <f ca="1"/>
        <v>4.6880576153974333E-2</v>
      </c>
    </row>
    <row r="143" spans="2:12">
      <c r="B143" t="str">
        <f ca="1"/>
        <v>Roads</v>
      </c>
      <c r="C143" s="33" t="str">
        <f ca="1"/>
        <v>Diesel</v>
      </c>
      <c r="D143" s="43">
        <f ca="1"/>
        <v>46447</v>
      </c>
      <c r="E143" s="138">
        <f ca="1"/>
        <v>10149</v>
      </c>
      <c r="F143" s="112">
        <f ca="1"/>
        <v>0.06</v>
      </c>
      <c r="G143" s="112">
        <f ca="1"/>
        <v>0.45356302165418505</v>
      </c>
      <c r="H143" s="112">
        <f ca="1"/>
        <v>0.6</v>
      </c>
      <c r="I143" s="112">
        <f ca="1"/>
        <v>0.1</v>
      </c>
      <c r="J143" s="133">
        <f ca="1"/>
        <v>16.571559984365965</v>
      </c>
      <c r="K143" s="96">
        <f ca="1"/>
        <v>608.93999999999994</v>
      </c>
      <c r="L143" s="134">
        <f ca="1"/>
        <v>2.7213781299251102E-2</v>
      </c>
    </row>
    <row r="144" spans="2:12">
      <c r="B144" t="str">
        <f ca="1"/>
        <v>Bridges &amp; Culverts</v>
      </c>
      <c r="C144" s="33" t="str">
        <f ca="1"/>
        <v>Labour</v>
      </c>
      <c r="D144" s="43">
        <f ca="1"/>
        <v>46082</v>
      </c>
      <c r="E144" s="138">
        <f ca="1"/>
        <v>914</v>
      </c>
      <c r="F144" s="112">
        <f ca="1"/>
        <v>0.35</v>
      </c>
      <c r="G144" s="112" t="str">
        <f ca="1"/>
        <v>N/A</v>
      </c>
      <c r="H144" s="112" t="str">
        <f ca="1"/>
        <v>N/A</v>
      </c>
      <c r="I144" s="112" t="str">
        <f ca="1"/>
        <v>N/A</v>
      </c>
      <c r="J144" s="133">
        <f ca="1"/>
        <v>0</v>
      </c>
      <c r="K144" s="96">
        <f ca="1"/>
        <v>319.89999999999998</v>
      </c>
      <c r="L144" s="134">
        <f ca="1"/>
        <v>0</v>
      </c>
    </row>
    <row r="145" spans="2:12">
      <c r="B145" t="str">
        <f ca="1"/>
        <v>Bridges &amp; Culverts</v>
      </c>
      <c r="C145" s="33" t="str">
        <f ca="1"/>
        <v>Engineering design</v>
      </c>
      <c r="D145" s="43">
        <f ca="1"/>
        <v>46082</v>
      </c>
      <c r="E145" s="138">
        <f ca="1"/>
        <v>914</v>
      </c>
      <c r="F145" s="112">
        <f ca="1"/>
        <v>0.2</v>
      </c>
      <c r="G145" s="112" t="str">
        <f ca="1"/>
        <v>N/A</v>
      </c>
      <c r="H145" s="112" t="str">
        <f ca="1"/>
        <v>N/A</v>
      </c>
      <c r="I145" s="112" t="str">
        <f ca="1"/>
        <v>N/A</v>
      </c>
      <c r="J145" s="133">
        <f ca="1"/>
        <v>0</v>
      </c>
      <c r="K145" s="96">
        <f ca="1"/>
        <v>182.8</v>
      </c>
      <c r="L145" s="134">
        <f ca="1"/>
        <v>0</v>
      </c>
    </row>
    <row r="146" spans="2:12">
      <c r="B146" t="str">
        <f ca="1"/>
        <v>Bridges &amp; Culverts</v>
      </c>
      <c r="C146" s="33" t="str">
        <f ca="1"/>
        <v>Reinforcing bar</v>
      </c>
      <c r="D146" s="43">
        <f ca="1"/>
        <v>46082</v>
      </c>
      <c r="E146" s="138">
        <f ca="1"/>
        <v>914</v>
      </c>
      <c r="F146" s="112">
        <f ca="1"/>
        <v>0.16</v>
      </c>
      <c r="G146" s="112">
        <f ca="1"/>
        <v>8.4066217963502693E-2</v>
      </c>
      <c r="H146" s="112">
        <f ca="1"/>
        <v>0.6</v>
      </c>
      <c r="I146" s="112">
        <f ca="1"/>
        <v>0.25</v>
      </c>
      <c r="J146" s="133">
        <f ca="1"/>
        <v>1.8440765572473949</v>
      </c>
      <c r="K146" s="96">
        <f ca="1"/>
        <v>146.24</v>
      </c>
      <c r="L146" s="134">
        <f ca="1"/>
        <v>1.2609932694525402E-2</v>
      </c>
    </row>
    <row r="147" spans="2:12">
      <c r="B147" t="str">
        <f ca="1"/>
        <v>Bridges &amp; Culverts</v>
      </c>
      <c r="C147" s="33" t="str">
        <f ca="1"/>
        <v>Structural steel</v>
      </c>
      <c r="D147" s="43">
        <f ca="1"/>
        <v>46082</v>
      </c>
      <c r="E147" s="138">
        <f ca="1"/>
        <v>914</v>
      </c>
      <c r="F147" s="112">
        <f ca="1"/>
        <v>0.16</v>
      </c>
      <c r="G147" s="112">
        <f ca="1"/>
        <v>0.52500514810102583</v>
      </c>
      <c r="H147" s="112">
        <f ca="1"/>
        <v>0.6</v>
      </c>
      <c r="I147" s="112">
        <f ca="1"/>
        <v>0.25</v>
      </c>
      <c r="J147" s="133">
        <f ca="1"/>
        <v>11.516512928744103</v>
      </c>
      <c r="K147" s="96">
        <f ca="1"/>
        <v>146.24</v>
      </c>
      <c r="L147" s="134">
        <f ca="1"/>
        <v>7.8750772215153864E-2</v>
      </c>
    </row>
    <row r="148" spans="2:12">
      <c r="B148" t="str">
        <f ca="1"/>
        <v>Bridges &amp; Culverts</v>
      </c>
      <c r="C148" s="33" t="str">
        <f ca="1"/>
        <v>Plant and equipment</v>
      </c>
      <c r="D148" s="43">
        <f ca="1"/>
        <v>46082</v>
      </c>
      <c r="E148" s="138">
        <f ca="1"/>
        <v>914</v>
      </c>
      <c r="F148" s="112">
        <f ca="1"/>
        <v>0.08</v>
      </c>
      <c r="G148" s="112">
        <f ca="1"/>
        <v>0.31546495432215926</v>
      </c>
      <c r="H148" s="112">
        <f ca="1"/>
        <v>0.8</v>
      </c>
      <c r="I148" s="112">
        <f ca="1"/>
        <v>0.25</v>
      </c>
      <c r="J148" s="133">
        <f ca="1"/>
        <v>4.613359492007258</v>
      </c>
      <c r="K148" s="96">
        <f ca="1"/>
        <v>73.12</v>
      </c>
      <c r="L148" s="134">
        <f ca="1"/>
        <v>6.3092990864431861E-2</v>
      </c>
    </row>
    <row r="149" spans="2:12">
      <c r="B149" t="str">
        <f ca="1"/>
        <v>Bridges &amp; Culverts</v>
      </c>
      <c r="C149" s="33" t="str">
        <f ca="1"/>
        <v>Diesel</v>
      </c>
      <c r="D149" s="43">
        <f ca="1"/>
        <v>46082</v>
      </c>
      <c r="E149" s="138">
        <f ca="1"/>
        <v>914</v>
      </c>
      <c r="F149" s="112">
        <f ca="1"/>
        <v>0.05</v>
      </c>
      <c r="G149" s="112">
        <f ca="1"/>
        <v>0.45356302165418505</v>
      </c>
      <c r="H149" s="112">
        <f ca="1"/>
        <v>0.6</v>
      </c>
      <c r="I149" s="112">
        <f ca="1"/>
        <v>0.1</v>
      </c>
      <c r="J149" s="133">
        <f ca="1"/>
        <v>1.2436698053757755</v>
      </c>
      <c r="K149" s="96">
        <f ca="1"/>
        <v>45.7</v>
      </c>
      <c r="L149" s="134">
        <f ca="1"/>
        <v>2.7213781299251106E-2</v>
      </c>
    </row>
    <row r="150" spans="2:12">
      <c r="B150" t="str">
        <f ca="1"/>
        <v>Bridges &amp; Culverts</v>
      </c>
      <c r="C150" s="33" t="str">
        <f ca="1"/>
        <v>Labour</v>
      </c>
      <c r="D150" s="43">
        <f ca="1"/>
        <v>46447</v>
      </c>
      <c r="E150" s="138">
        <f ca="1"/>
        <v>960</v>
      </c>
      <c r="F150" s="112">
        <f ca="1"/>
        <v>0.35</v>
      </c>
      <c r="G150" s="112" t="str">
        <f ca="1"/>
        <v>N/A</v>
      </c>
      <c r="H150" s="112" t="str">
        <f ca="1"/>
        <v>N/A</v>
      </c>
      <c r="I150" s="112" t="str">
        <f ca="1"/>
        <v>N/A</v>
      </c>
      <c r="J150" s="133">
        <f ca="1"/>
        <v>0</v>
      </c>
      <c r="K150" s="96">
        <f ca="1"/>
        <v>336</v>
      </c>
      <c r="L150" s="134">
        <f ca="1"/>
        <v>0</v>
      </c>
    </row>
    <row r="151" spans="2:12">
      <c r="B151" t="str">
        <f ca="1"/>
        <v>Bridges &amp; Culverts</v>
      </c>
      <c r="C151" s="33" t="str">
        <f ca="1"/>
        <v>Engineering design</v>
      </c>
      <c r="D151" s="43">
        <f ca="1"/>
        <v>46447</v>
      </c>
      <c r="E151" s="138">
        <f ca="1"/>
        <v>960</v>
      </c>
      <c r="F151" s="112">
        <f ca="1"/>
        <v>0.2</v>
      </c>
      <c r="G151" s="112" t="str">
        <f ca="1"/>
        <v>N/A</v>
      </c>
      <c r="H151" s="112" t="str">
        <f ca="1"/>
        <v>N/A</v>
      </c>
      <c r="I151" s="112" t="str">
        <f ca="1"/>
        <v>N/A</v>
      </c>
      <c r="J151" s="133">
        <f ca="1"/>
        <v>0</v>
      </c>
      <c r="K151" s="96">
        <f ca="1"/>
        <v>192</v>
      </c>
      <c r="L151" s="134">
        <f ca="1"/>
        <v>0</v>
      </c>
    </row>
    <row r="152" spans="2:12">
      <c r="B152" t="str">
        <f ca="1"/>
        <v>Bridges &amp; Culverts</v>
      </c>
      <c r="C152" s="33" t="str">
        <f ca="1"/>
        <v>Reinforcing bar</v>
      </c>
      <c r="D152" s="43">
        <f ca="1"/>
        <v>46447</v>
      </c>
      <c r="E152" s="138">
        <f ca="1"/>
        <v>960</v>
      </c>
      <c r="F152" s="112">
        <f ca="1"/>
        <v>0.16</v>
      </c>
      <c r="G152" s="112">
        <f ca="1"/>
        <v>8.4066217963502693E-2</v>
      </c>
      <c r="H152" s="112">
        <f ca="1"/>
        <v>0.6</v>
      </c>
      <c r="I152" s="112">
        <f ca="1"/>
        <v>0.25</v>
      </c>
      <c r="J152" s="133">
        <f ca="1"/>
        <v>1.9368856618791019</v>
      </c>
      <c r="K152" s="96">
        <f ca="1"/>
        <v>153.6</v>
      </c>
      <c r="L152" s="134">
        <f ca="1"/>
        <v>1.2609932694525403E-2</v>
      </c>
    </row>
    <row r="153" spans="2:12">
      <c r="B153" t="str">
        <f ca="1"/>
        <v>Bridges &amp; Culverts</v>
      </c>
      <c r="C153" s="33" t="str">
        <f ca="1"/>
        <v>Structural steel</v>
      </c>
      <c r="D153" s="43">
        <f ca="1"/>
        <v>46447</v>
      </c>
      <c r="E153" s="138">
        <f ca="1"/>
        <v>960</v>
      </c>
      <c r="F153" s="112">
        <f ca="1"/>
        <v>0.16</v>
      </c>
      <c r="G153" s="112">
        <f ca="1"/>
        <v>0.52500514810102583</v>
      </c>
      <c r="H153" s="112">
        <f ca="1"/>
        <v>0.6</v>
      </c>
      <c r="I153" s="112">
        <f ca="1"/>
        <v>0.25</v>
      </c>
      <c r="J153" s="133">
        <f ca="1"/>
        <v>12.096118612247635</v>
      </c>
      <c r="K153" s="96">
        <f ca="1"/>
        <v>153.6</v>
      </c>
      <c r="L153" s="134">
        <f ca="1"/>
        <v>7.8750772215153877E-2</v>
      </c>
    </row>
    <row r="154" spans="2:12">
      <c r="B154" t="str">
        <f ca="1"/>
        <v>Bridges &amp; Culverts</v>
      </c>
      <c r="C154" s="33" t="str">
        <f ca="1"/>
        <v>Plant and equipment</v>
      </c>
      <c r="D154" s="43">
        <f ca="1"/>
        <v>46447</v>
      </c>
      <c r="E154" s="138">
        <f ca="1"/>
        <v>960</v>
      </c>
      <c r="F154" s="112">
        <f ca="1"/>
        <v>0.08</v>
      </c>
      <c r="G154" s="112">
        <f ca="1"/>
        <v>0.31546495432215926</v>
      </c>
      <c r="H154" s="112">
        <f ca="1"/>
        <v>0.8</v>
      </c>
      <c r="I154" s="112">
        <f ca="1"/>
        <v>0.25</v>
      </c>
      <c r="J154" s="133">
        <f ca="1"/>
        <v>4.8455416983883666</v>
      </c>
      <c r="K154" s="96">
        <f ca="1"/>
        <v>76.8</v>
      </c>
      <c r="L154" s="134">
        <f ca="1"/>
        <v>6.3092990864431861E-2</v>
      </c>
    </row>
    <row r="155" spans="2:12">
      <c r="B155" t="str">
        <f ca="1"/>
        <v>Bridges &amp; Culverts</v>
      </c>
      <c r="C155" s="33" t="str">
        <f ca="1"/>
        <v>Diesel</v>
      </c>
      <c r="D155" s="43">
        <f ca="1"/>
        <v>46447</v>
      </c>
      <c r="E155" s="138">
        <f ca="1"/>
        <v>960</v>
      </c>
      <c r="F155" s="112">
        <f ca="1"/>
        <v>0.05</v>
      </c>
      <c r="G155" s="112">
        <f ca="1"/>
        <v>0.45356302165418505</v>
      </c>
      <c r="H155" s="112">
        <f ca="1"/>
        <v>0.6</v>
      </c>
      <c r="I155" s="112">
        <f ca="1"/>
        <v>0.1</v>
      </c>
      <c r="J155" s="133">
        <f ca="1"/>
        <v>1.3062615023640529</v>
      </c>
      <c r="K155" s="96">
        <f ca="1"/>
        <v>48</v>
      </c>
      <c r="L155" s="134">
        <f ca="1"/>
        <v>2.7213781299251102E-2</v>
      </c>
    </row>
    <row r="156" spans="2:12">
      <c r="B156" t="str">
        <f ca="1"/>
        <v>Water assets</v>
      </c>
      <c r="C156" s="33" t="str">
        <f ca="1"/>
        <v>Labour</v>
      </c>
      <c r="D156" s="43">
        <f ca="1"/>
        <v>46082</v>
      </c>
      <c r="E156" s="138">
        <f ca="1"/>
        <v>2650</v>
      </c>
      <c r="F156" s="112">
        <f ca="1"/>
        <v>0.6</v>
      </c>
      <c r="G156" s="112" t="str">
        <f ca="1"/>
        <v>N/A</v>
      </c>
      <c r="H156" s="112" t="str">
        <f ca="1"/>
        <v>N/A</v>
      </c>
      <c r="I156" s="112" t="str">
        <f ca="1"/>
        <v>N/A</v>
      </c>
      <c r="J156" s="133">
        <f ca="1"/>
        <v>0</v>
      </c>
      <c r="K156" s="96">
        <f ca="1"/>
        <v>1590</v>
      </c>
      <c r="L156" s="134">
        <f ca="1"/>
        <v>0</v>
      </c>
    </row>
    <row r="157" spans="2:12">
      <c r="B157" t="str">
        <f ca="1"/>
        <v>Water assets</v>
      </c>
      <c r="C157" s="33" t="str">
        <f ca="1"/>
        <v>Structural steel</v>
      </c>
      <c r="D157" s="43">
        <f ca="1"/>
        <v>46082</v>
      </c>
      <c r="E157" s="138">
        <f ca="1"/>
        <v>2650</v>
      </c>
      <c r="F157" s="112">
        <f ca="1"/>
        <v>0.05</v>
      </c>
      <c r="G157" s="112">
        <f ca="1"/>
        <v>0.52500514810102583</v>
      </c>
      <c r="H157" s="112">
        <f ca="1"/>
        <v>0.6</v>
      </c>
      <c r="I157" s="112">
        <f ca="1"/>
        <v>0.25</v>
      </c>
      <c r="J157" s="133">
        <f ca="1"/>
        <v>10.43447731850789</v>
      </c>
      <c r="K157" s="96">
        <f ca="1"/>
        <v>132.5</v>
      </c>
      <c r="L157" s="134">
        <f ca="1"/>
        <v>7.8750772215153877E-2</v>
      </c>
    </row>
    <row r="158" spans="2:12">
      <c r="B158" t="str">
        <f ca="1"/>
        <v>Water assets</v>
      </c>
      <c r="C158" s="33" t="str">
        <f ca="1"/>
        <v>Concrete</v>
      </c>
      <c r="D158" s="43">
        <f ca="1"/>
        <v>46082</v>
      </c>
      <c r="E158" s="138">
        <f ca="1"/>
        <v>2650</v>
      </c>
      <c r="F158" s="112">
        <f ca="1"/>
        <v>0.05</v>
      </c>
      <c r="G158" s="112">
        <f ca="1"/>
        <v>1.1472584695084088E-2</v>
      </c>
      <c r="H158" s="112">
        <f ca="1"/>
        <v>0.6</v>
      </c>
      <c r="I158" s="112">
        <f ca="1"/>
        <v>0.25</v>
      </c>
      <c r="J158" s="133">
        <f ca="1"/>
        <v>0.22801762081479623</v>
      </c>
      <c r="K158" s="96">
        <f ca="1"/>
        <v>132.5</v>
      </c>
      <c r="L158" s="134">
        <f ca="1"/>
        <v>1.720887704262613E-3</v>
      </c>
    </row>
    <row r="159" spans="2:12">
      <c r="B159" t="str">
        <f ca="1"/>
        <v>Water assets</v>
      </c>
      <c r="C159" s="33" t="str">
        <f ca="1"/>
        <v>Electrical wire</v>
      </c>
      <c r="D159" s="43">
        <f ca="1"/>
        <v>46082</v>
      </c>
      <c r="E159" s="138">
        <f ca="1"/>
        <v>2650</v>
      </c>
      <c r="F159" s="112">
        <f ca="1"/>
        <v>0.01</v>
      </c>
      <c r="G159" s="112">
        <f ca="1"/>
        <v>0.80654510583379313</v>
      </c>
      <c r="H159" s="112">
        <f ca="1"/>
        <v>0.6</v>
      </c>
      <c r="I159" s="112">
        <f ca="1"/>
        <v>0.25</v>
      </c>
      <c r="J159" s="133">
        <f ca="1"/>
        <v>3.2060167956893273</v>
      </c>
      <c r="K159" s="96">
        <f ca="1"/>
        <v>26.5</v>
      </c>
      <c r="L159" s="134">
        <f ca="1"/>
        <v>0.12098176587506895</v>
      </c>
    </row>
    <row r="160" spans="2:12">
      <c r="B160" t="str">
        <f ca="1"/>
        <v>Water assets</v>
      </c>
      <c r="C160" s="33" t="str">
        <f ca="1"/>
        <v>Polyethylene pipes</v>
      </c>
      <c r="D160" s="43">
        <f ca="1"/>
        <v>46082</v>
      </c>
      <c r="E160" s="138">
        <f ca="1"/>
        <v>2650</v>
      </c>
      <c r="F160" s="112">
        <f ca="1"/>
        <v>0.09</v>
      </c>
      <c r="G160" s="112">
        <f ca="1"/>
        <v>0.12828361767948987</v>
      </c>
      <c r="H160" s="112">
        <f ca="1"/>
        <v>0.6</v>
      </c>
      <c r="I160" s="112">
        <f ca="1"/>
        <v>0.25</v>
      </c>
      <c r="J160" s="133">
        <f ca="1"/>
        <v>4.5893464224837501</v>
      </c>
      <c r="K160" s="96">
        <f ca="1"/>
        <v>238.5</v>
      </c>
      <c r="L160" s="134">
        <f ca="1"/>
        <v>1.9242542651923482E-2</v>
      </c>
    </row>
    <row r="161" spans="2:12">
      <c r="B161" t="str">
        <f ca="1"/>
        <v>Water assets</v>
      </c>
      <c r="C161" s="33" t="str">
        <f ca="1"/>
        <v>Plant and equipment</v>
      </c>
      <c r="D161" s="43">
        <f ca="1"/>
        <v>46082</v>
      </c>
      <c r="E161" s="138">
        <f ca="1"/>
        <v>2650</v>
      </c>
      <c r="F161" s="112">
        <f ca="1"/>
        <v>0.08</v>
      </c>
      <c r="G161" s="112">
        <f ca="1"/>
        <v>0.31546495432215926</v>
      </c>
      <c r="H161" s="112">
        <f ca="1"/>
        <v>0.8</v>
      </c>
      <c r="I161" s="112">
        <f ca="1"/>
        <v>0.25</v>
      </c>
      <c r="J161" s="133">
        <f ca="1"/>
        <v>13.375714063259554</v>
      </c>
      <c r="K161" s="96">
        <f ca="1"/>
        <v>212</v>
      </c>
      <c r="L161" s="134">
        <f ca="1"/>
        <v>6.3092990864431861E-2</v>
      </c>
    </row>
    <row r="162" spans="2:12">
      <c r="B162" t="str">
        <f ca="1"/>
        <v>Water assets</v>
      </c>
      <c r="C162" s="33" t="str">
        <f ca="1"/>
        <v>Water equipment</v>
      </c>
      <c r="D162" s="43">
        <f ca="1"/>
        <v>46082</v>
      </c>
      <c r="E162" s="138">
        <f ca="1"/>
        <v>2650</v>
      </c>
      <c r="F162" s="112">
        <f ca="1"/>
        <v>7.0000000000000007E-2</v>
      </c>
      <c r="G162" s="112">
        <f ca="1"/>
        <v>0.53411483886586031</v>
      </c>
      <c r="H162" s="112">
        <f ca="1"/>
        <v>0.8</v>
      </c>
      <c r="I162" s="112">
        <f ca="1"/>
        <v>0.25</v>
      </c>
      <c r="J162" s="133">
        <f ca="1"/>
        <v>19.815660521923419</v>
      </c>
      <c r="K162" s="96">
        <f ca="1"/>
        <v>185.50000000000003</v>
      </c>
      <c r="L162" s="134">
        <f ca="1"/>
        <v>0.10682296777317206</v>
      </c>
    </row>
    <row r="163" spans="2:12">
      <c r="B163" t="str">
        <f ca="1"/>
        <v>Water assets</v>
      </c>
      <c r="C163" s="33" t="str">
        <f ca="1"/>
        <v>Diesel</v>
      </c>
      <c r="D163" s="43">
        <f ca="1"/>
        <v>46082</v>
      </c>
      <c r="E163" s="138">
        <f ca="1"/>
        <v>2650</v>
      </c>
      <c r="F163" s="112">
        <f ca="1"/>
        <v>0.05</v>
      </c>
      <c r="G163" s="112">
        <f ca="1"/>
        <v>0.45356302165418505</v>
      </c>
      <c r="H163" s="112">
        <f ca="1"/>
        <v>0.6</v>
      </c>
      <c r="I163" s="112">
        <f ca="1"/>
        <v>0.1</v>
      </c>
      <c r="J163" s="133">
        <f ca="1"/>
        <v>3.605826022150771</v>
      </c>
      <c r="K163" s="96">
        <f ca="1"/>
        <v>132.5</v>
      </c>
      <c r="L163" s="134">
        <f ca="1"/>
        <v>2.7213781299251102E-2</v>
      </c>
    </row>
    <row r="164" spans="2:12">
      <c r="B164" t="str">
        <f ca="1"/>
        <v>Water assets</v>
      </c>
      <c r="C164" s="33" t="str">
        <f ca="1"/>
        <v>Labour</v>
      </c>
      <c r="D164" s="43">
        <f ca="1"/>
        <v>46447</v>
      </c>
      <c r="E164" s="138">
        <f ca="1"/>
        <v>2785</v>
      </c>
      <c r="F164" s="112">
        <f ca="1"/>
        <v>0.6</v>
      </c>
      <c r="G164" s="112" t="str">
        <f ca="1"/>
        <v>N/A</v>
      </c>
      <c r="H164" s="112" t="str">
        <f ca="1"/>
        <v>N/A</v>
      </c>
      <c r="I164" s="112" t="str">
        <f ca="1"/>
        <v>N/A</v>
      </c>
      <c r="J164" s="133">
        <f ca="1"/>
        <v>0</v>
      </c>
      <c r="K164" s="96">
        <f ca="1"/>
        <v>1671</v>
      </c>
      <c r="L164" s="134">
        <f ca="1"/>
        <v>0</v>
      </c>
    </row>
    <row r="165" spans="2:12">
      <c r="B165" t="str">
        <f ca="1"/>
        <v>Water assets</v>
      </c>
      <c r="C165" s="33" t="str">
        <f ca="1"/>
        <v>Structural steel</v>
      </c>
      <c r="D165" s="43">
        <f ca="1"/>
        <v>46447</v>
      </c>
      <c r="E165" s="138">
        <f ca="1"/>
        <v>2785</v>
      </c>
      <c r="F165" s="112">
        <f ca="1"/>
        <v>0.05</v>
      </c>
      <c r="G165" s="112">
        <f ca="1"/>
        <v>0.52500514810102583</v>
      </c>
      <c r="H165" s="112">
        <f ca="1"/>
        <v>0.6</v>
      </c>
      <c r="I165" s="112">
        <f ca="1"/>
        <v>0.25</v>
      </c>
      <c r="J165" s="133">
        <f ca="1"/>
        <v>10.966045030960176</v>
      </c>
      <c r="K165" s="96">
        <f ca="1"/>
        <v>139.25</v>
      </c>
      <c r="L165" s="134">
        <f ca="1"/>
        <v>7.8750772215153864E-2</v>
      </c>
    </row>
    <row r="166" spans="2:12">
      <c r="B166" t="str">
        <f ca="1"/>
        <v>Water assets</v>
      </c>
      <c r="C166" s="33" t="str">
        <f ca="1"/>
        <v>Concrete</v>
      </c>
      <c r="D166" s="43">
        <f ca="1"/>
        <v>46447</v>
      </c>
      <c r="E166" s="138">
        <f ca="1"/>
        <v>2785</v>
      </c>
      <c r="F166" s="112">
        <f ca="1"/>
        <v>0.05</v>
      </c>
      <c r="G166" s="112">
        <f ca="1"/>
        <v>1.1472584695084088E-2</v>
      </c>
      <c r="H166" s="112">
        <f ca="1"/>
        <v>0.6</v>
      </c>
      <c r="I166" s="112">
        <f ca="1"/>
        <v>0.25</v>
      </c>
      <c r="J166" s="133">
        <f ca="1"/>
        <v>0.23963361281856888</v>
      </c>
      <c r="K166" s="96">
        <f ca="1"/>
        <v>139.25</v>
      </c>
      <c r="L166" s="134">
        <f ca="1"/>
        <v>1.720887704262613E-3</v>
      </c>
    </row>
    <row r="167" spans="2:12">
      <c r="B167" t="str">
        <f ca="1"/>
        <v>Water assets</v>
      </c>
      <c r="C167" s="33" t="str">
        <f ca="1"/>
        <v>Electrical wire</v>
      </c>
      <c r="D167" s="43">
        <f ca="1"/>
        <v>46447</v>
      </c>
      <c r="E167" s="138">
        <f ca="1"/>
        <v>2785</v>
      </c>
      <c r="F167" s="112">
        <f ca="1"/>
        <v>0.01</v>
      </c>
      <c r="G167" s="112">
        <f ca="1"/>
        <v>0.80654510583379313</v>
      </c>
      <c r="H167" s="112">
        <f ca="1"/>
        <v>0.6</v>
      </c>
      <c r="I167" s="112">
        <f ca="1"/>
        <v>0.25</v>
      </c>
      <c r="J167" s="133">
        <f ca="1"/>
        <v>3.3693421796206708</v>
      </c>
      <c r="K167" s="96">
        <f ca="1"/>
        <v>27.85</v>
      </c>
      <c r="L167" s="134">
        <f ca="1"/>
        <v>0.12098176587506897</v>
      </c>
    </row>
    <row r="168" spans="2:12">
      <c r="B168" t="str">
        <f ca="1"/>
        <v>Water assets</v>
      </c>
      <c r="C168" s="33" t="str">
        <f ca="1"/>
        <v>Polyethylene pipes</v>
      </c>
      <c r="D168" s="43">
        <f ca="1"/>
        <v>46447</v>
      </c>
      <c r="E168" s="138">
        <f ca="1"/>
        <v>2785</v>
      </c>
      <c r="F168" s="112">
        <f ca="1"/>
        <v>0.09</v>
      </c>
      <c r="G168" s="112">
        <f ca="1"/>
        <v>0.12828361767948987</v>
      </c>
      <c r="H168" s="112">
        <f ca="1"/>
        <v>0.6</v>
      </c>
      <c r="I168" s="112">
        <f ca="1"/>
        <v>0.25</v>
      </c>
      <c r="J168" s="133">
        <f ca="1"/>
        <v>4.8231433157046206</v>
      </c>
      <c r="K168" s="96">
        <f ca="1"/>
        <v>250.64999999999998</v>
      </c>
      <c r="L168" s="134">
        <f ca="1"/>
        <v>1.9242542651923482E-2</v>
      </c>
    </row>
    <row r="169" spans="2:12">
      <c r="B169" t="str">
        <f ca="1"/>
        <v>Water assets</v>
      </c>
      <c r="C169" s="33" t="str">
        <f ca="1"/>
        <v>Plant and equipment</v>
      </c>
      <c r="D169" s="43">
        <f ca="1"/>
        <v>46447</v>
      </c>
      <c r="E169" s="138">
        <f ca="1"/>
        <v>2785</v>
      </c>
      <c r="F169" s="112">
        <f ca="1"/>
        <v>0.08</v>
      </c>
      <c r="G169" s="112">
        <f ca="1"/>
        <v>0.31546495432215926</v>
      </c>
      <c r="H169" s="112">
        <f ca="1"/>
        <v>0.8</v>
      </c>
      <c r="I169" s="112">
        <f ca="1"/>
        <v>0.25</v>
      </c>
      <c r="J169" s="133">
        <f ca="1"/>
        <v>14.057118364595418</v>
      </c>
      <c r="K169" s="96">
        <f ca="1"/>
        <v>222.8</v>
      </c>
      <c r="L169" s="134">
        <f ca="1"/>
        <v>6.3092990864431861E-2</v>
      </c>
    </row>
    <row r="170" spans="2:12">
      <c r="B170" t="str">
        <f ca="1"/>
        <v>Water assets</v>
      </c>
      <c r="C170" s="33" t="str">
        <f ca="1"/>
        <v>Water equipment</v>
      </c>
      <c r="D170" s="43">
        <f ca="1"/>
        <v>46447</v>
      </c>
      <c r="E170" s="138">
        <f ca="1"/>
        <v>2785</v>
      </c>
      <c r="F170" s="112">
        <f ca="1"/>
        <v>7.0000000000000007E-2</v>
      </c>
      <c r="G170" s="112">
        <f ca="1"/>
        <v>0.53411483886586031</v>
      </c>
      <c r="H170" s="112">
        <f ca="1"/>
        <v>0.8</v>
      </c>
      <c r="I170" s="112">
        <f ca="1"/>
        <v>0.25</v>
      </c>
      <c r="J170" s="133">
        <f ca="1"/>
        <v>20.825137567379898</v>
      </c>
      <c r="K170" s="96">
        <f ca="1"/>
        <v>194.95000000000002</v>
      </c>
      <c r="L170" s="134">
        <f ca="1"/>
        <v>0.10682296777317207</v>
      </c>
    </row>
    <row r="171" spans="2:12">
      <c r="B171" t="str">
        <f ca="1"/>
        <v>Water assets</v>
      </c>
      <c r="C171" s="33" t="str">
        <f ca="1"/>
        <v>Diesel</v>
      </c>
      <c r="D171" s="43">
        <f ca="1"/>
        <v>46447</v>
      </c>
      <c r="E171" s="138">
        <f ca="1"/>
        <v>2785</v>
      </c>
      <c r="F171" s="112">
        <f ca="1"/>
        <v>0.05</v>
      </c>
      <c r="G171" s="112">
        <f ca="1"/>
        <v>0.45356302165418505</v>
      </c>
      <c r="H171" s="112">
        <f ca="1"/>
        <v>0.6</v>
      </c>
      <c r="I171" s="112">
        <f ca="1"/>
        <v>0.1</v>
      </c>
      <c r="J171" s="133">
        <f ca="1"/>
        <v>3.7895190459207164</v>
      </c>
      <c r="K171" s="96">
        <f ca="1"/>
        <v>139.25</v>
      </c>
      <c r="L171" s="134">
        <f ca="1"/>
        <v>2.7213781299251106E-2</v>
      </c>
    </row>
    <row r="172" spans="2:12">
      <c r="B172" t="str">
        <f ca="1"/>
        <v>Storm/Sanitary Sewers</v>
      </c>
      <c r="C172" s="33" t="str">
        <f ca="1"/>
        <v>Labour</v>
      </c>
      <c r="D172" s="43">
        <f ca="1"/>
        <v>46082</v>
      </c>
      <c r="E172" s="138">
        <f ca="1"/>
        <v>4846</v>
      </c>
      <c r="F172" s="112">
        <f ca="1"/>
        <v>0.6</v>
      </c>
      <c r="G172" s="112" t="str">
        <f ca="1"/>
        <v>N/A</v>
      </c>
      <c r="H172" s="112" t="str">
        <f ca="1"/>
        <v>N/A</v>
      </c>
      <c r="I172" s="112" t="str">
        <f ca="1"/>
        <v>N/A</v>
      </c>
      <c r="J172" s="133">
        <f ca="1"/>
        <v>0</v>
      </c>
      <c r="K172" s="96">
        <f ca="1"/>
        <v>2907.6</v>
      </c>
      <c r="L172" s="134">
        <f ca="1"/>
        <v>0</v>
      </c>
    </row>
    <row r="173" spans="2:12">
      <c r="B173" t="str">
        <f ca="1"/>
        <v>Storm/Sanitary Sewers</v>
      </c>
      <c r="C173" s="33" t="str">
        <f ca="1"/>
        <v>Structural steel</v>
      </c>
      <c r="D173" s="43">
        <f ca="1"/>
        <v>46082</v>
      </c>
      <c r="E173" s="138">
        <f ca="1"/>
        <v>4846</v>
      </c>
      <c r="F173" s="112">
        <f ca="1"/>
        <v>0.05</v>
      </c>
      <c r="G173" s="112">
        <f ca="1"/>
        <v>0.52500514810102583</v>
      </c>
      <c r="H173" s="112">
        <f ca="1"/>
        <v>0.6</v>
      </c>
      <c r="I173" s="112">
        <f ca="1"/>
        <v>0.25</v>
      </c>
      <c r="J173" s="133">
        <f ca="1"/>
        <v>19.081312107731783</v>
      </c>
      <c r="K173" s="96">
        <f ca="1"/>
        <v>242.3</v>
      </c>
      <c r="L173" s="134">
        <f ca="1"/>
        <v>7.8750772215153864E-2</v>
      </c>
    </row>
    <row r="174" spans="2:12">
      <c r="B174" t="str">
        <f ca="1"/>
        <v>Storm/Sanitary Sewers</v>
      </c>
      <c r="C174" s="33" t="str">
        <f ca="1"/>
        <v>Concrete</v>
      </c>
      <c r="D174" s="43">
        <f ca="1"/>
        <v>46082</v>
      </c>
      <c r="E174" s="138">
        <f ca="1"/>
        <v>4846</v>
      </c>
      <c r="F174" s="112">
        <f ca="1"/>
        <v>0.12</v>
      </c>
      <c r="G174" s="112">
        <f ca="1"/>
        <v>1.1472584695084088E-2</v>
      </c>
      <c r="H174" s="112">
        <f ca="1"/>
        <v>0.6</v>
      </c>
      <c r="I174" s="112">
        <f ca="1"/>
        <v>0.25</v>
      </c>
      <c r="J174" s="133">
        <f ca="1"/>
        <v>1.0007306177827948</v>
      </c>
      <c r="K174" s="96">
        <f ca="1"/>
        <v>581.52</v>
      </c>
      <c r="L174" s="134">
        <f ca="1"/>
        <v>1.7208877042626132E-3</v>
      </c>
    </row>
    <row r="175" spans="2:12">
      <c r="B175" t="str">
        <f ca="1"/>
        <v>Storm/Sanitary Sewers</v>
      </c>
      <c r="C175" s="33" t="str">
        <f ca="1"/>
        <v>Electrical wire</v>
      </c>
      <c r="D175" s="43">
        <f ca="1"/>
        <v>46082</v>
      </c>
      <c r="E175" s="138">
        <f ca="1"/>
        <v>4846</v>
      </c>
      <c r="F175" s="112">
        <f ca="1"/>
        <v>0.01</v>
      </c>
      <c r="G175" s="112">
        <f ca="1"/>
        <v>0.80654510583379313</v>
      </c>
      <c r="H175" s="112">
        <f ca="1"/>
        <v>0.6</v>
      </c>
      <c r="I175" s="112">
        <f ca="1"/>
        <v>0.25</v>
      </c>
      <c r="J175" s="133">
        <f ca="1"/>
        <v>5.8627763743058425</v>
      </c>
      <c r="K175" s="96">
        <f ca="1"/>
        <v>48.46</v>
      </c>
      <c r="L175" s="134">
        <f ca="1"/>
        <v>0.12098176587506897</v>
      </c>
    </row>
    <row r="176" spans="2:12">
      <c r="B176" t="str">
        <f ca="1"/>
        <v>Storm/Sanitary Sewers</v>
      </c>
      <c r="C176" s="33" t="str">
        <f ca="1"/>
        <v>Polyethylene pipes</v>
      </c>
      <c r="D176" s="43">
        <f ca="1"/>
        <v>46082</v>
      </c>
      <c r="E176" s="138">
        <f ca="1"/>
        <v>4846</v>
      </c>
      <c r="F176" s="112">
        <f ca="1"/>
        <v>0.02</v>
      </c>
      <c r="G176" s="112">
        <f ca="1"/>
        <v>0.12828361767948987</v>
      </c>
      <c r="H176" s="112">
        <f ca="1"/>
        <v>0.6</v>
      </c>
      <c r="I176" s="112">
        <f ca="1"/>
        <v>0.25</v>
      </c>
      <c r="J176" s="133">
        <f ca="1"/>
        <v>1.8649872338244236</v>
      </c>
      <c r="K176" s="96">
        <f ca="1"/>
        <v>96.92</v>
      </c>
      <c r="L176" s="134">
        <f ca="1"/>
        <v>1.9242542651923478E-2</v>
      </c>
    </row>
    <row r="177" spans="2:12">
      <c r="B177" t="str">
        <f ca="1"/>
        <v>Storm/Sanitary Sewers</v>
      </c>
      <c r="C177" s="33" t="str">
        <f ca="1"/>
        <v>Plant and equipment</v>
      </c>
      <c r="D177" s="43">
        <f ca="1"/>
        <v>46082</v>
      </c>
      <c r="E177" s="138">
        <f ca="1"/>
        <v>4846</v>
      </c>
      <c r="F177" s="112">
        <f ca="1"/>
        <v>0.12</v>
      </c>
      <c r="G177" s="112">
        <f ca="1"/>
        <v>0.31546495432215926</v>
      </c>
      <c r="H177" s="112">
        <f ca="1"/>
        <v>0.8</v>
      </c>
      <c r="I177" s="112">
        <f ca="1"/>
        <v>0.25</v>
      </c>
      <c r="J177" s="133">
        <f ca="1"/>
        <v>36.689836047484413</v>
      </c>
      <c r="K177" s="96">
        <f ca="1"/>
        <v>581.52</v>
      </c>
      <c r="L177" s="134">
        <f ca="1"/>
        <v>6.3092990864431861E-2</v>
      </c>
    </row>
    <row r="178" spans="2:12">
      <c r="B178" t="str">
        <f ca="1"/>
        <v>Storm/Sanitary Sewers</v>
      </c>
      <c r="C178" s="33" t="str">
        <f ca="1"/>
        <v>Water equipment</v>
      </c>
      <c r="D178" s="43">
        <f ca="1"/>
        <v>46082</v>
      </c>
      <c r="E178" s="138">
        <f ca="1"/>
        <v>4846</v>
      </c>
      <c r="F178" s="112">
        <f ca="1"/>
        <v>0.03</v>
      </c>
      <c r="G178" s="112">
        <f ca="1"/>
        <v>0.53411483886586031</v>
      </c>
      <c r="H178" s="112">
        <f ca="1"/>
        <v>0.8</v>
      </c>
      <c r="I178" s="112">
        <f ca="1"/>
        <v>0.25</v>
      </c>
      <c r="J178" s="133">
        <f ca="1"/>
        <v>15.529923054863753</v>
      </c>
      <c r="K178" s="96">
        <f ca="1"/>
        <v>145.38</v>
      </c>
      <c r="L178" s="134">
        <f ca="1"/>
        <v>0.10682296777317206</v>
      </c>
    </row>
    <row r="179" spans="2:12">
      <c r="B179" t="str">
        <f ca="1"/>
        <v>Storm/Sanitary Sewers</v>
      </c>
      <c r="C179" s="33" t="str">
        <f ca="1"/>
        <v>Diesel</v>
      </c>
      <c r="D179" s="43">
        <f ca="1"/>
        <v>46082</v>
      </c>
      <c r="E179" s="138">
        <f ca="1"/>
        <v>4846</v>
      </c>
      <c r="F179" s="112">
        <f ca="1"/>
        <v>0.05</v>
      </c>
      <c r="G179" s="112">
        <f ca="1"/>
        <v>0.45356302165418505</v>
      </c>
      <c r="H179" s="112">
        <f ca="1"/>
        <v>0.6</v>
      </c>
      <c r="I179" s="112">
        <f ca="1"/>
        <v>0.1</v>
      </c>
      <c r="J179" s="133">
        <f ca="1"/>
        <v>6.5938992088085433</v>
      </c>
      <c r="K179" s="96">
        <f ca="1"/>
        <v>242.3</v>
      </c>
      <c r="L179" s="134">
        <f ca="1"/>
        <v>2.7213781299251106E-2</v>
      </c>
    </row>
    <row r="180" spans="2:12">
      <c r="B180" t="str">
        <f ca="1"/>
        <v>Storm/Sanitary Sewers</v>
      </c>
      <c r="C180" s="33" t="str">
        <f ca="1"/>
        <v>Labour</v>
      </c>
      <c r="D180" s="43">
        <f ca="1"/>
        <v>46447</v>
      </c>
      <c r="E180" s="138">
        <f ca="1"/>
        <v>5094</v>
      </c>
      <c r="F180" s="112">
        <f ca="1"/>
        <v>0.6</v>
      </c>
      <c r="G180" s="112" t="str">
        <f ca="1"/>
        <v>N/A</v>
      </c>
      <c r="H180" s="112" t="str">
        <f ca="1"/>
        <v>N/A</v>
      </c>
      <c r="I180" s="112" t="str">
        <f ca="1"/>
        <v>N/A</v>
      </c>
      <c r="J180" s="133">
        <f ca="1"/>
        <v>0</v>
      </c>
      <c r="K180" s="96">
        <f ca="1"/>
        <v>3056.4</v>
      </c>
      <c r="L180" s="134">
        <f ca="1"/>
        <v>0</v>
      </c>
    </row>
    <row r="181" spans="2:12">
      <c r="B181" t="str">
        <f ca="1"/>
        <v>Storm/Sanitary Sewers</v>
      </c>
      <c r="C181" s="33" t="str">
        <f ca="1"/>
        <v>Structural steel</v>
      </c>
      <c r="D181" s="43">
        <f ca="1"/>
        <v>46447</v>
      </c>
      <c r="E181" s="138">
        <f ca="1"/>
        <v>5094</v>
      </c>
      <c r="F181" s="112">
        <f ca="1"/>
        <v>0.05</v>
      </c>
      <c r="G181" s="112">
        <f ca="1"/>
        <v>0.52500514810102583</v>
      </c>
      <c r="H181" s="112">
        <f ca="1"/>
        <v>0.6</v>
      </c>
      <c r="I181" s="112">
        <f ca="1"/>
        <v>0.25</v>
      </c>
      <c r="J181" s="133">
        <f ca="1"/>
        <v>20.057821683199695</v>
      </c>
      <c r="K181" s="96">
        <f ca="1"/>
        <v>254.70000000000002</v>
      </c>
      <c r="L181" s="134">
        <f ca="1"/>
        <v>7.8750772215153877E-2</v>
      </c>
    </row>
    <row r="182" spans="2:12">
      <c r="B182" t="str">
        <f ca="1"/>
        <v>Storm/Sanitary Sewers</v>
      </c>
      <c r="C182" s="33" t="str">
        <f ca="1"/>
        <v>Concrete</v>
      </c>
      <c r="D182" s="43">
        <f ca="1"/>
        <v>46447</v>
      </c>
      <c r="E182" s="138">
        <f ca="1"/>
        <v>5094</v>
      </c>
      <c r="F182" s="112">
        <f ca="1"/>
        <v>0.12</v>
      </c>
      <c r="G182" s="112">
        <f ca="1"/>
        <v>1.1472584695084088E-2</v>
      </c>
      <c r="H182" s="112">
        <f ca="1"/>
        <v>0.6</v>
      </c>
      <c r="I182" s="112">
        <f ca="1"/>
        <v>0.25</v>
      </c>
      <c r="J182" s="133">
        <f ca="1"/>
        <v>1.0519442358616502</v>
      </c>
      <c r="K182" s="96">
        <f ca="1"/>
        <v>611.28</v>
      </c>
      <c r="L182" s="134">
        <f ca="1"/>
        <v>1.7208877042626132E-3</v>
      </c>
    </row>
    <row r="183" spans="2:12">
      <c r="B183" t="str">
        <f ca="1"/>
        <v>Storm/Sanitary Sewers</v>
      </c>
      <c r="C183" s="33" t="str">
        <f ca="1"/>
        <v>Electrical wire</v>
      </c>
      <c r="D183" s="43">
        <f ca="1"/>
        <v>46447</v>
      </c>
      <c r="E183" s="138">
        <f ca="1"/>
        <v>5094</v>
      </c>
      <c r="F183" s="112">
        <f ca="1"/>
        <v>0.01</v>
      </c>
      <c r="G183" s="112">
        <f ca="1"/>
        <v>0.80654510583379313</v>
      </c>
      <c r="H183" s="112">
        <f ca="1"/>
        <v>0.6</v>
      </c>
      <c r="I183" s="112">
        <f ca="1"/>
        <v>0.25</v>
      </c>
      <c r="J183" s="133">
        <f ca="1"/>
        <v>6.1628111536760128</v>
      </c>
      <c r="K183" s="96">
        <f ca="1"/>
        <v>50.94</v>
      </c>
      <c r="L183" s="134">
        <f ca="1"/>
        <v>0.12098176587506897</v>
      </c>
    </row>
    <row r="184" spans="2:12">
      <c r="B184" t="str">
        <f ca="1"/>
        <v>Storm/Sanitary Sewers</v>
      </c>
      <c r="C184" s="33" t="str">
        <f ca="1"/>
        <v>Polyethylene pipes</v>
      </c>
      <c r="D184" s="43">
        <f ca="1"/>
        <v>46447</v>
      </c>
      <c r="E184" s="138">
        <f ca="1"/>
        <v>5094</v>
      </c>
      <c r="F184" s="112">
        <f ca="1"/>
        <v>0.02</v>
      </c>
      <c r="G184" s="112">
        <f ca="1"/>
        <v>0.12828361767948987</v>
      </c>
      <c r="H184" s="112">
        <f ca="1"/>
        <v>0.6</v>
      </c>
      <c r="I184" s="112">
        <f ca="1"/>
        <v>0.25</v>
      </c>
      <c r="J184" s="133">
        <f ca="1"/>
        <v>1.9604302453779641</v>
      </c>
      <c r="K184" s="96">
        <f ca="1"/>
        <v>101.88</v>
      </c>
      <c r="L184" s="134">
        <f ca="1"/>
        <v>1.9242542651923478E-2</v>
      </c>
    </row>
    <row r="185" spans="2:12">
      <c r="B185" t="str">
        <f ca="1"/>
        <v>Storm/Sanitary Sewers</v>
      </c>
      <c r="C185" s="33" t="str">
        <f ca="1"/>
        <v>Plant and equipment</v>
      </c>
      <c r="D185" s="43">
        <f ca="1"/>
        <v>46447</v>
      </c>
      <c r="E185" s="138">
        <f ca="1"/>
        <v>5094</v>
      </c>
      <c r="F185" s="112">
        <f ca="1"/>
        <v>0.12</v>
      </c>
      <c r="G185" s="112">
        <f ca="1"/>
        <v>0.31546495432215926</v>
      </c>
      <c r="H185" s="112">
        <f ca="1"/>
        <v>0.8</v>
      </c>
      <c r="I185" s="112">
        <f ca="1"/>
        <v>0.25</v>
      </c>
      <c r="J185" s="133">
        <f ca="1"/>
        <v>38.567483455609903</v>
      </c>
      <c r="K185" s="96">
        <f ca="1"/>
        <v>611.28</v>
      </c>
      <c r="L185" s="134">
        <f ca="1"/>
        <v>6.3092990864431861E-2</v>
      </c>
    </row>
    <row r="186" spans="2:12">
      <c r="B186" t="str">
        <f ca="1"/>
        <v>Storm/Sanitary Sewers</v>
      </c>
      <c r="C186" s="33" t="str">
        <f ca="1"/>
        <v>Water equipment</v>
      </c>
      <c r="D186" s="43">
        <f ca="1"/>
        <v>46447</v>
      </c>
      <c r="E186" s="138">
        <f ca="1"/>
        <v>5094</v>
      </c>
      <c r="F186" s="112">
        <f ca="1"/>
        <v>0.03</v>
      </c>
      <c r="G186" s="112">
        <f ca="1"/>
        <v>0.53411483886586031</v>
      </c>
      <c r="H186" s="112">
        <f ca="1"/>
        <v>0.8</v>
      </c>
      <c r="I186" s="112">
        <f ca="1"/>
        <v>0.25</v>
      </c>
      <c r="J186" s="133">
        <f ca="1"/>
        <v>16.324685935096152</v>
      </c>
      <c r="K186" s="96">
        <f ca="1"/>
        <v>152.82</v>
      </c>
      <c r="L186" s="134">
        <f ca="1"/>
        <v>0.10682296777317205</v>
      </c>
    </row>
    <row r="187" spans="2:12">
      <c r="B187" t="str">
        <f ca="1"/>
        <v>Storm/Sanitary Sewers</v>
      </c>
      <c r="C187" s="33" t="str">
        <f ca="1"/>
        <v>Diesel</v>
      </c>
      <c r="D187" s="43">
        <f ca="1"/>
        <v>46447</v>
      </c>
      <c r="E187" s="138">
        <f ca="1"/>
        <v>5094</v>
      </c>
      <c r="F187" s="112">
        <f ca="1"/>
        <v>0.05</v>
      </c>
      <c r="G187" s="112">
        <f ca="1"/>
        <v>0.45356302165418505</v>
      </c>
      <c r="H187" s="112">
        <f ca="1"/>
        <v>0.6</v>
      </c>
      <c r="I187" s="112">
        <f ca="1"/>
        <v>0.1</v>
      </c>
      <c r="J187" s="133">
        <f ca="1"/>
        <v>6.9313500969192567</v>
      </c>
      <c r="K187" s="96">
        <f ca="1"/>
        <v>254.70000000000002</v>
      </c>
      <c r="L187" s="134">
        <f ca="1"/>
        <v>2.7213781299251106E-2</v>
      </c>
    </row>
    <row r="188" spans="2:12">
      <c r="B188" t="str">
        <f ca="1"/>
        <v>Vehicles</v>
      </c>
      <c r="C188" s="33" t="str">
        <f ca="1"/>
        <v>Vehicles</v>
      </c>
      <c r="D188" s="43">
        <f ca="1"/>
        <v>46082</v>
      </c>
      <c r="E188" s="138">
        <f ca="1"/>
        <v>654</v>
      </c>
      <c r="F188" s="112">
        <f ca="1"/>
        <v>1</v>
      </c>
      <c r="G188" s="112">
        <f ca="1"/>
        <v>0.52451068102476561</v>
      </c>
      <c r="H188" s="112">
        <f ca="1"/>
        <v>0.8</v>
      </c>
      <c r="I188" s="112">
        <f ca="1"/>
        <v>0.25</v>
      </c>
      <c r="J188" s="133">
        <f ca="1"/>
        <v>68.605997078039351</v>
      </c>
      <c r="K188" s="96">
        <f ca="1"/>
        <v>654</v>
      </c>
      <c r="L188" s="134">
        <f ca="1"/>
        <v>0.10490213620495313</v>
      </c>
    </row>
    <row r="189" spans="2:12">
      <c r="B189" t="str">
        <f ca="1"/>
        <v>Vehicles</v>
      </c>
      <c r="C189" s="33" t="str">
        <f ca="1"/>
        <v>Vehicles</v>
      </c>
      <c r="D189" s="43">
        <f ca="1"/>
        <v>46447</v>
      </c>
      <c r="E189" s="138">
        <f ca="1"/>
        <v>687</v>
      </c>
      <c r="F189" s="112">
        <f ca="1"/>
        <v>1</v>
      </c>
      <c r="G189" s="112">
        <f ca="1"/>
        <v>0.52451068102476561</v>
      </c>
      <c r="H189" s="112">
        <f ca="1"/>
        <v>0.8</v>
      </c>
      <c r="I189" s="112">
        <f ca="1"/>
        <v>0.25</v>
      </c>
      <c r="J189" s="133">
        <f ca="1"/>
        <v>72.067767572802794</v>
      </c>
      <c r="K189" s="96">
        <f ca="1"/>
        <v>687</v>
      </c>
      <c r="L189" s="134">
        <f ca="1"/>
        <v>0.10490213620495312</v>
      </c>
    </row>
    <row r="190" spans="2:12">
      <c r="B190" t="str">
        <f ca="1"/>
        <v>New Fire Station on Main Street</v>
      </c>
      <c r="C190" s="33" t="str">
        <f ca="1"/>
        <v>Firetrucks</v>
      </c>
      <c r="D190" s="43">
        <f ca="1"/>
        <v>46082</v>
      </c>
      <c r="E190" s="138">
        <f ca="1"/>
        <v>582</v>
      </c>
      <c r="F190" s="112">
        <f ca="1"/>
        <v>0.11855670103092783</v>
      </c>
      <c r="G190" s="112">
        <f ca="1"/>
        <v>0.8</v>
      </c>
      <c r="H190" s="112">
        <f ca="1"/>
        <v>0.8</v>
      </c>
      <c r="I190" s="112">
        <f ca="1"/>
        <v>0.25</v>
      </c>
      <c r="J190" s="133">
        <f ca="1"/>
        <v>11.040000000000001</v>
      </c>
      <c r="K190" s="96">
        <f ca="1"/>
        <v>69</v>
      </c>
      <c r="L190" s="134">
        <f ca="1"/>
        <v>0.16</v>
      </c>
    </row>
    <row r="191" spans="2:12">
      <c r="B191" t="str">
        <f ca="1"/>
        <v>New Fire Station on Main Street</v>
      </c>
      <c r="C191" s="33" t="str">
        <f ca="1"/>
        <v>Electrical Equipment</v>
      </c>
      <c r="D191" s="43">
        <f ca="1"/>
        <v>46082</v>
      </c>
      <c r="E191" s="138">
        <f ca="1"/>
        <v>582</v>
      </c>
      <c r="F191" s="112">
        <f ca="1"/>
        <v>0.14948453608247422</v>
      </c>
      <c r="G191" s="112">
        <f ca="1"/>
        <v>0.48556692694591386</v>
      </c>
      <c r="H191" s="112">
        <f ca="1"/>
        <v>0.8</v>
      </c>
      <c r="I191" s="112">
        <f ca="1"/>
        <v>0.25</v>
      </c>
      <c r="J191" s="133">
        <f ca="1"/>
        <v>8.4488645288589019</v>
      </c>
      <c r="K191" s="96">
        <f ca="1"/>
        <v>87</v>
      </c>
      <c r="L191" s="134">
        <f ca="1"/>
        <v>9.711338538918278E-2</v>
      </c>
    </row>
    <row r="192" spans="2:12">
      <c r="B192" t="str">
        <f ca="1"/>
        <v>New Fire Station on Main Street</v>
      </c>
      <c r="C192" s="33" t="str">
        <f ca="1"/>
        <v>Structural steel</v>
      </c>
      <c r="D192" s="43">
        <f ca="1"/>
        <v>46082</v>
      </c>
      <c r="E192" s="138">
        <f ca="1"/>
        <v>582</v>
      </c>
      <c r="F192" s="112">
        <f ca="1"/>
        <v>0.11855670103092783</v>
      </c>
      <c r="G192" s="112">
        <f ca="1"/>
        <v>0.52500514810102583</v>
      </c>
      <c r="H192" s="112">
        <f ca="1"/>
        <v>0.6</v>
      </c>
      <c r="I192" s="112">
        <f ca="1"/>
        <v>0.25</v>
      </c>
      <c r="J192" s="133">
        <f ca="1"/>
        <v>5.4338032828456173</v>
      </c>
      <c r="K192" s="96">
        <f ca="1"/>
        <v>69</v>
      </c>
      <c r="L192" s="134">
        <f ca="1"/>
        <v>7.8750772215153877E-2</v>
      </c>
    </row>
    <row r="193" spans="2:12">
      <c r="B193" t="str">
        <f ca="1"/>
        <v>New Fire Station on Main Street</v>
      </c>
      <c r="C193" s="33" t="str">
        <f ca="1"/>
        <v>Plant and equipment</v>
      </c>
      <c r="D193" s="43">
        <f ca="1"/>
        <v>46082</v>
      </c>
      <c r="E193" s="138">
        <f ca="1"/>
        <v>582</v>
      </c>
      <c r="F193" s="112">
        <f ca="1"/>
        <v>0.12542955326460481</v>
      </c>
      <c r="G193" s="112">
        <f ca="1"/>
        <v>0.31546495432215926</v>
      </c>
      <c r="H193" s="112">
        <f ca="1"/>
        <v>0.8</v>
      </c>
      <c r="I193" s="112">
        <f ca="1"/>
        <v>0.25</v>
      </c>
      <c r="J193" s="133">
        <f ca="1"/>
        <v>4.6057883331035248</v>
      </c>
      <c r="K193" s="96">
        <f ca="1"/>
        <v>73</v>
      </c>
      <c r="L193" s="134">
        <f ca="1"/>
        <v>6.3092990864431847E-2</v>
      </c>
    </row>
    <row r="194" spans="2:12">
      <c r="B194" t="str">
        <f ca="1"/>
        <v>New Fire Station on Main Street</v>
      </c>
      <c r="C194" s="33" t="str">
        <f ca="1"/>
        <v>Diesel</v>
      </c>
      <c r="D194" s="43">
        <f ca="1"/>
        <v>46082</v>
      </c>
      <c r="E194" s="138">
        <f ca="1"/>
        <v>582</v>
      </c>
      <c r="F194" s="112">
        <f ca="1"/>
        <v>0.16151202749140894</v>
      </c>
      <c r="G194" s="112">
        <f ca="1"/>
        <v>0.45356302165418505</v>
      </c>
      <c r="H194" s="112">
        <f ca="1"/>
        <v>0.6</v>
      </c>
      <c r="I194" s="112">
        <f ca="1"/>
        <v>0.1</v>
      </c>
      <c r="J194" s="133">
        <f ca="1"/>
        <v>2.5580954421296038</v>
      </c>
      <c r="K194" s="96">
        <f ca="1"/>
        <v>94</v>
      </c>
      <c r="L194" s="134">
        <f ca="1"/>
        <v>2.7213781299251106E-2</v>
      </c>
    </row>
    <row r="195" spans="2:12">
      <c r="B195" t="str">
        <f ca="1"/>
        <v>New Fire Station on Main Street</v>
      </c>
      <c r="C195" s="33" t="str">
        <f ca="1"/>
        <v>Concrete</v>
      </c>
      <c r="D195" s="43">
        <f ca="1"/>
        <v>46082</v>
      </c>
      <c r="E195" s="138">
        <f ca="1"/>
        <v>582</v>
      </c>
      <c r="F195" s="112">
        <f ca="1"/>
        <v>0.1563573883161512</v>
      </c>
      <c r="G195" s="112">
        <f ca="1"/>
        <v>1.1472584695084088E-2</v>
      </c>
      <c r="H195" s="112">
        <f ca="1"/>
        <v>0.6</v>
      </c>
      <c r="I195" s="112">
        <f ca="1"/>
        <v>0.25</v>
      </c>
      <c r="J195" s="133">
        <f ca="1"/>
        <v>0.15660078108789779</v>
      </c>
      <c r="K195" s="96">
        <f ca="1"/>
        <v>91</v>
      </c>
      <c r="L195" s="134">
        <f ca="1"/>
        <v>1.7208877042626132E-3</v>
      </c>
    </row>
    <row r="196" spans="2:12">
      <c r="B196" t="str">
        <f ca="1"/>
        <v>New Fire Station on Main Street</v>
      </c>
      <c r="C196" s="33" t="str">
        <f ca="1"/>
        <v>Labour</v>
      </c>
      <c r="D196" s="43">
        <f ca="1"/>
        <v>46082</v>
      </c>
      <c r="E196" s="138">
        <f ca="1"/>
        <v>582</v>
      </c>
      <c r="F196" s="112">
        <f ca="1"/>
        <v>0.17010309278350516</v>
      </c>
      <c r="G196" s="112" t="str">
        <f ca="1"/>
        <v>N/A</v>
      </c>
      <c r="H196" s="112" t="str">
        <f ca="1"/>
        <v>N/A</v>
      </c>
      <c r="I196" s="112" t="str">
        <f ca="1"/>
        <v>N/A</v>
      </c>
      <c r="J196" s="133">
        <f ca="1"/>
        <v>0</v>
      </c>
      <c r="K196" s="96">
        <f ca="1"/>
        <v>99</v>
      </c>
      <c r="L196" s="134">
        <f ca="1"/>
        <v>0</v>
      </c>
    </row>
    <row r="197" spans="2:12">
      <c r="B197" t="str">
        <f ca="1"/>
        <v>New Fire Station on Main Street</v>
      </c>
      <c r="C197" s="33" t="str">
        <f ca="1"/>
        <v>Firetrucks</v>
      </c>
      <c r="D197" s="43">
        <f ca="1"/>
        <v>46447</v>
      </c>
      <c r="E197" s="138">
        <f ca="1"/>
        <v>587</v>
      </c>
      <c r="F197" s="112">
        <f ca="1"/>
        <v>0.15843270868824533</v>
      </c>
      <c r="G197" s="112">
        <f ca="1"/>
        <v>0.8</v>
      </c>
      <c r="H197" s="112">
        <f ca="1"/>
        <v>0.8</v>
      </c>
      <c r="I197" s="112">
        <f ca="1"/>
        <v>0.25</v>
      </c>
      <c r="J197" s="133">
        <f ca="1"/>
        <v>14.880000000000003</v>
      </c>
      <c r="K197" s="96">
        <f ca="1"/>
        <v>93</v>
      </c>
      <c r="L197" s="134">
        <f ca="1"/>
        <v>0.16000000000000003</v>
      </c>
    </row>
    <row r="198" spans="2:12">
      <c r="B198" t="str">
        <f ca="1"/>
        <v>New Fire Station on Main Street</v>
      </c>
      <c r="C198" s="33" t="str">
        <f ca="1"/>
        <v>Electrical Equipment</v>
      </c>
      <c r="D198" s="43">
        <f ca="1"/>
        <v>46447</v>
      </c>
      <c r="E198" s="138">
        <f ca="1"/>
        <v>587</v>
      </c>
      <c r="F198" s="112">
        <f ca="1"/>
        <v>0.12947189097103917</v>
      </c>
      <c r="G198" s="112">
        <f ca="1"/>
        <v>0.48556692694591386</v>
      </c>
      <c r="H198" s="112">
        <f ca="1"/>
        <v>0.8</v>
      </c>
      <c r="I198" s="112">
        <f ca="1"/>
        <v>0.25</v>
      </c>
      <c r="J198" s="133">
        <f ca="1"/>
        <v>7.3806172895778905</v>
      </c>
      <c r="K198" s="96">
        <f ca="1"/>
        <v>76</v>
      </c>
      <c r="L198" s="134">
        <f ca="1"/>
        <v>9.7113385389182766E-2</v>
      </c>
    </row>
    <row r="199" spans="2:12">
      <c r="B199" t="str">
        <f ca="1"/>
        <v>New Fire Station on Main Street</v>
      </c>
      <c r="C199" s="33" t="str">
        <f ca="1"/>
        <v>Structural steel</v>
      </c>
      <c r="D199" s="43">
        <f ca="1"/>
        <v>46447</v>
      </c>
      <c r="E199" s="138">
        <f ca="1"/>
        <v>587</v>
      </c>
      <c r="F199" s="112">
        <f ca="1"/>
        <v>0.15332197614991483</v>
      </c>
      <c r="G199" s="112">
        <f ca="1"/>
        <v>0.52500514810102583</v>
      </c>
      <c r="H199" s="112">
        <f ca="1"/>
        <v>0.6</v>
      </c>
      <c r="I199" s="112">
        <f ca="1"/>
        <v>0.25</v>
      </c>
      <c r="J199" s="133">
        <f ca="1"/>
        <v>7.0875694993638492</v>
      </c>
      <c r="K199" s="96">
        <f ca="1"/>
        <v>90</v>
      </c>
      <c r="L199" s="134">
        <f ca="1"/>
        <v>7.8750772215153877E-2</v>
      </c>
    </row>
    <row r="200" spans="2:12">
      <c r="B200" t="str">
        <f ca="1"/>
        <v>New Fire Station on Main Street</v>
      </c>
      <c r="C200" s="33" t="str">
        <f ca="1"/>
        <v>Plant and equipment</v>
      </c>
      <c r="D200" s="43">
        <f ca="1"/>
        <v>46447</v>
      </c>
      <c r="E200" s="138">
        <f ca="1"/>
        <v>587</v>
      </c>
      <c r="F200" s="112">
        <f ca="1"/>
        <v>8.6882453151618397E-2</v>
      </c>
      <c r="G200" s="112">
        <f ca="1"/>
        <v>0.31546495432215926</v>
      </c>
      <c r="H200" s="112">
        <f ca="1"/>
        <v>0.8</v>
      </c>
      <c r="I200" s="112">
        <f ca="1"/>
        <v>0.25</v>
      </c>
      <c r="J200" s="133">
        <f ca="1"/>
        <v>3.2177425340860246</v>
      </c>
      <c r="K200" s="96">
        <f ca="1"/>
        <v>51</v>
      </c>
      <c r="L200" s="134">
        <f ca="1"/>
        <v>6.3092990864431861E-2</v>
      </c>
    </row>
    <row r="201" spans="2:12">
      <c r="B201" t="str">
        <f ca="1"/>
        <v>New Fire Station on Main Street</v>
      </c>
      <c r="C201" s="33" t="str">
        <f ca="1"/>
        <v>Diesel</v>
      </c>
      <c r="D201" s="43">
        <f ca="1"/>
        <v>46447</v>
      </c>
      <c r="E201" s="138">
        <f ca="1"/>
        <v>587</v>
      </c>
      <c r="F201" s="112">
        <f ca="1"/>
        <v>0.15502555366269166</v>
      </c>
      <c r="G201" s="112">
        <f ca="1"/>
        <v>0.45356302165418505</v>
      </c>
      <c r="H201" s="112">
        <f ca="1"/>
        <v>0.6</v>
      </c>
      <c r="I201" s="112">
        <f ca="1"/>
        <v>0.1</v>
      </c>
      <c r="J201" s="133">
        <f ca="1"/>
        <v>2.4764540982318506</v>
      </c>
      <c r="K201" s="96">
        <f ca="1"/>
        <v>91</v>
      </c>
      <c r="L201" s="134">
        <f ca="1"/>
        <v>2.7213781299251106E-2</v>
      </c>
    </row>
    <row r="202" spans="2:12">
      <c r="B202" t="str">
        <f ca="1"/>
        <v>New Fire Station on Main Street</v>
      </c>
      <c r="C202" s="33" t="str">
        <f ca="1"/>
        <v>Concrete</v>
      </c>
      <c r="D202" s="43">
        <f ca="1"/>
        <v>46447</v>
      </c>
      <c r="E202" s="138">
        <f ca="1"/>
        <v>587</v>
      </c>
      <c r="F202" s="112">
        <f ca="1"/>
        <v>0.15672913117546849</v>
      </c>
      <c r="G202" s="112">
        <f ca="1"/>
        <v>1.1472584695084088E-2</v>
      </c>
      <c r="H202" s="112">
        <f ca="1"/>
        <v>0.6</v>
      </c>
      <c r="I202" s="112">
        <f ca="1"/>
        <v>0.25</v>
      </c>
      <c r="J202" s="133">
        <f ca="1"/>
        <v>0.15832166879216039</v>
      </c>
      <c r="K202" s="96">
        <f ca="1"/>
        <v>92</v>
      </c>
      <c r="L202" s="134">
        <f ca="1"/>
        <v>1.720887704262613E-3</v>
      </c>
    </row>
    <row r="203" spans="2:12">
      <c r="B203" t="str">
        <f ca="1"/>
        <v>New Fire Station on Main Street</v>
      </c>
      <c r="C203" s="33" t="str">
        <f ca="1"/>
        <v>Labour</v>
      </c>
      <c r="D203" s="43">
        <f ca="1"/>
        <v>46447</v>
      </c>
      <c r="E203" s="138">
        <f ca="1"/>
        <v>587</v>
      </c>
      <c r="F203" s="112">
        <f ca="1"/>
        <v>0.16013628620102216</v>
      </c>
      <c r="G203" s="112" t="str">
        <f ca="1"/>
        <v>N/A</v>
      </c>
      <c r="H203" s="112" t="str">
        <f ca="1"/>
        <v>N/A</v>
      </c>
      <c r="I203" s="112" t="str">
        <f ca="1"/>
        <v>N/A</v>
      </c>
      <c r="J203" s="133">
        <f ca="1"/>
        <v>0</v>
      </c>
      <c r="K203" s="96">
        <f ca="1"/>
        <v>94</v>
      </c>
      <c r="L203" s="134">
        <f ca="1"/>
        <v>0</v>
      </c>
    </row>
    <row r="204" spans="2:12">
      <c r="C204" s="33"/>
      <c r="D204" s="43"/>
      <c r="E204" s="138"/>
      <c r="F204" s="112"/>
      <c r="G204" s="112"/>
      <c r="H204" s="112"/>
      <c r="I204" s="112"/>
      <c r="J204" s="133"/>
      <c r="K204" s="96"/>
      <c r="L204" s="134"/>
    </row>
    <row r="205" spans="2:12">
      <c r="C205" s="33"/>
      <c r="D205" s="43"/>
      <c r="E205" s="138"/>
      <c r="F205" s="112"/>
      <c r="G205" s="112"/>
      <c r="H205" s="112"/>
      <c r="I205" s="112"/>
      <c r="J205" s="133"/>
      <c r="K205" s="96"/>
      <c r="L205" s="134"/>
    </row>
    <row r="206" spans="2:12">
      <c r="C206" s="33"/>
      <c r="D206" s="43"/>
      <c r="E206" s="138"/>
      <c r="F206" s="112"/>
      <c r="G206" s="112"/>
      <c r="H206" s="112"/>
      <c r="I206" s="112"/>
      <c r="J206" s="133"/>
      <c r="K206" s="96"/>
      <c r="L206" s="134"/>
    </row>
    <row r="207" spans="2:12">
      <c r="C207" s="33"/>
      <c r="D207" s="43"/>
      <c r="E207" s="138"/>
      <c r="F207" s="112"/>
      <c r="G207" s="112"/>
      <c r="H207" s="112"/>
      <c r="I207" s="112"/>
      <c r="J207" s="133"/>
      <c r="K207" s="96"/>
      <c r="L207" s="134"/>
    </row>
    <row r="208" spans="2:12">
      <c r="C208" s="33"/>
      <c r="D208" s="43"/>
      <c r="E208" s="138"/>
      <c r="F208" s="112"/>
      <c r="G208" s="112"/>
      <c r="H208" s="112"/>
      <c r="I208" s="112"/>
      <c r="J208" s="133"/>
      <c r="K208" s="96"/>
      <c r="L208" s="134"/>
    </row>
    <row r="209" spans="3:12">
      <c r="C209" s="33"/>
      <c r="D209" s="43"/>
      <c r="E209" s="138"/>
      <c r="F209" s="112"/>
      <c r="G209" s="112"/>
      <c r="H209" s="112"/>
      <c r="I209" s="112"/>
      <c r="J209" s="133"/>
      <c r="K209" s="96"/>
      <c r="L209" s="134"/>
    </row>
    <row r="210" spans="3:12">
      <c r="C210" s="33"/>
      <c r="D210" s="43"/>
      <c r="E210" s="138"/>
      <c r="F210" s="112"/>
      <c r="G210" s="112"/>
      <c r="H210" s="112"/>
      <c r="I210" s="112"/>
      <c r="J210" s="133"/>
      <c r="K210" s="96"/>
      <c r="L210" s="134"/>
    </row>
    <row r="211" spans="3:12">
      <c r="C211" s="33"/>
      <c r="D211" s="43"/>
      <c r="E211" s="138"/>
      <c r="F211" s="112"/>
      <c r="G211" s="112"/>
      <c r="H211" s="112"/>
      <c r="I211" s="112"/>
      <c r="J211" s="133"/>
      <c r="K211" s="96"/>
      <c r="L211" s="134"/>
    </row>
    <row r="212" spans="3:12">
      <c r="C212" s="33"/>
      <c r="D212" s="43"/>
      <c r="E212" s="138"/>
      <c r="F212" s="112"/>
      <c r="G212" s="112"/>
      <c r="H212" s="112"/>
      <c r="I212" s="112"/>
      <c r="J212" s="133"/>
      <c r="K212" s="96"/>
      <c r="L212" s="134"/>
    </row>
    <row r="213" spans="3:12">
      <c r="C213" s="33"/>
      <c r="D213" s="43"/>
      <c r="E213" s="138"/>
      <c r="F213" s="112"/>
      <c r="G213" s="112"/>
      <c r="H213" s="112"/>
      <c r="I213" s="112"/>
      <c r="J213" s="133"/>
      <c r="K213" s="96"/>
      <c r="L213" s="134"/>
    </row>
    <row r="214" spans="3:12">
      <c r="C214" s="33"/>
      <c r="D214" s="43"/>
      <c r="E214" s="138"/>
      <c r="F214" s="112"/>
      <c r="G214" s="112"/>
      <c r="H214" s="112"/>
      <c r="I214" s="112"/>
      <c r="J214" s="133"/>
      <c r="K214" s="96"/>
      <c r="L214" s="134"/>
    </row>
    <row r="215" spans="3:12">
      <c r="C215" s="33"/>
      <c r="D215" s="43"/>
      <c r="E215" s="138"/>
      <c r="F215" s="112"/>
      <c r="G215" s="112"/>
      <c r="H215" s="112"/>
      <c r="I215" s="112"/>
      <c r="J215" s="133"/>
      <c r="K215" s="96"/>
      <c r="L215" s="134"/>
    </row>
    <row r="216" spans="3:12">
      <c r="C216" s="33"/>
      <c r="D216" s="43"/>
      <c r="E216" s="138"/>
      <c r="F216" s="112"/>
      <c r="G216" s="112"/>
      <c r="H216" s="112"/>
      <c r="I216" s="112"/>
      <c r="J216" s="133"/>
      <c r="K216" s="96"/>
      <c r="L216" s="134"/>
    </row>
    <row r="217" spans="3:12">
      <c r="C217" s="33"/>
      <c r="D217" s="43"/>
      <c r="E217" s="138"/>
      <c r="F217" s="112"/>
      <c r="G217" s="112"/>
      <c r="H217" s="112"/>
      <c r="I217" s="112"/>
      <c r="J217" s="133"/>
      <c r="K217" s="96"/>
      <c r="L217" s="134"/>
    </row>
    <row r="218" spans="3:12">
      <c r="C218" s="33"/>
      <c r="D218" s="43"/>
      <c r="E218" s="138"/>
      <c r="F218" s="112"/>
      <c r="G218" s="112"/>
      <c r="H218" s="112"/>
      <c r="I218" s="112"/>
      <c r="J218" s="133"/>
      <c r="K218" s="96"/>
      <c r="L218" s="134"/>
    </row>
    <row r="219" spans="3:12">
      <c r="C219" s="33"/>
      <c r="D219" s="43"/>
      <c r="E219" s="138"/>
      <c r="F219" s="112"/>
      <c r="G219" s="112"/>
      <c r="H219" s="112"/>
      <c r="I219" s="112"/>
      <c r="J219" s="133"/>
      <c r="K219" s="96"/>
      <c r="L219" s="134"/>
    </row>
    <row r="220" spans="3:12">
      <c r="C220" s="33"/>
      <c r="D220" s="43"/>
      <c r="E220" s="138"/>
      <c r="F220" s="112"/>
      <c r="G220" s="112"/>
      <c r="H220" s="112"/>
      <c r="I220" s="112"/>
      <c r="J220" s="133"/>
      <c r="K220" s="96"/>
      <c r="L220" s="134"/>
    </row>
    <row r="221" spans="3:12">
      <c r="C221" s="33"/>
      <c r="D221" s="43"/>
      <c r="E221" s="138"/>
      <c r="F221" s="112"/>
      <c r="G221" s="112"/>
      <c r="H221" s="112"/>
      <c r="I221" s="112"/>
      <c r="J221" s="133"/>
      <c r="K221" s="96"/>
      <c r="L221" s="134"/>
    </row>
    <row r="222" spans="3:12">
      <c r="C222" s="33"/>
      <c r="D222" s="43"/>
      <c r="E222" s="138"/>
      <c r="F222" s="112"/>
      <c r="G222" s="112"/>
      <c r="H222" s="112"/>
      <c r="I222" s="112"/>
      <c r="J222" s="133"/>
      <c r="K222" s="96"/>
      <c r="L222" s="134"/>
    </row>
    <row r="223" spans="3:12">
      <c r="C223" s="33"/>
      <c r="D223" s="43"/>
      <c r="E223" s="138"/>
      <c r="F223" s="112"/>
      <c r="G223" s="112"/>
      <c r="H223" s="112"/>
      <c r="I223" s="112"/>
      <c r="J223" s="133"/>
      <c r="K223" s="96"/>
      <c r="L223" s="134"/>
    </row>
    <row r="224" spans="3:12">
      <c r="C224" s="33"/>
      <c r="D224" s="43"/>
      <c r="E224" s="138"/>
      <c r="F224" s="112"/>
      <c r="G224" s="112"/>
      <c r="H224" s="112"/>
      <c r="I224" s="112"/>
      <c r="J224" s="133"/>
      <c r="K224" s="96"/>
      <c r="L224" s="134"/>
    </row>
    <row r="225" spans="3:12">
      <c r="C225" s="33"/>
      <c r="D225" s="43"/>
      <c r="E225" s="138"/>
      <c r="F225" s="112"/>
      <c r="G225" s="112"/>
      <c r="H225" s="112"/>
      <c r="I225" s="112"/>
      <c r="J225" s="133"/>
      <c r="K225" s="96"/>
      <c r="L225" s="134"/>
    </row>
    <row r="226" spans="3:12">
      <c r="C226" s="33"/>
      <c r="D226" s="43"/>
      <c r="E226" s="138"/>
      <c r="F226" s="112"/>
      <c r="G226" s="112"/>
      <c r="H226" s="112"/>
      <c r="I226" s="112"/>
      <c r="J226" s="133"/>
      <c r="K226" s="96"/>
      <c r="L226" s="134"/>
    </row>
    <row r="227" spans="3:12">
      <c r="C227" s="33"/>
      <c r="D227" s="43"/>
      <c r="E227" s="138"/>
      <c r="F227" s="112"/>
      <c r="G227" s="112"/>
      <c r="H227" s="112"/>
      <c r="I227" s="112"/>
      <c r="J227" s="133"/>
      <c r="K227" s="96"/>
      <c r="L227" s="134"/>
    </row>
    <row r="228" spans="3:12">
      <c r="C228" s="33"/>
      <c r="D228" s="43"/>
      <c r="E228" s="138"/>
      <c r="F228" s="112"/>
      <c r="G228" s="112"/>
      <c r="H228" s="112"/>
      <c r="I228" s="112"/>
      <c r="J228" s="133"/>
      <c r="K228" s="96"/>
      <c r="L228" s="134"/>
    </row>
    <row r="229" spans="3:12">
      <c r="C229" s="33"/>
      <c r="D229" s="43"/>
      <c r="E229" s="138"/>
      <c r="F229" s="112"/>
      <c r="G229" s="112"/>
      <c r="H229" s="112"/>
      <c r="I229" s="112"/>
      <c r="J229" s="133"/>
      <c r="K229" s="96"/>
      <c r="L229" s="134"/>
    </row>
    <row r="230" spans="3:12">
      <c r="C230" s="33"/>
      <c r="D230" s="43"/>
      <c r="E230" s="138"/>
      <c r="F230" s="112"/>
      <c r="G230" s="112"/>
      <c r="H230" s="112"/>
      <c r="I230" s="112"/>
      <c r="J230" s="133"/>
      <c r="K230" s="96"/>
      <c r="L230" s="134"/>
    </row>
    <row r="231" spans="3:12">
      <c r="C231" s="33"/>
      <c r="D231" s="43"/>
      <c r="E231" s="138"/>
      <c r="F231" s="112"/>
      <c r="G231" s="112"/>
      <c r="H231" s="112"/>
      <c r="I231" s="112"/>
      <c r="J231" s="133"/>
      <c r="K231" s="96"/>
      <c r="L231" s="134"/>
    </row>
    <row r="232" spans="3:12">
      <c r="C232" s="33"/>
      <c r="D232" s="43"/>
      <c r="E232" s="138"/>
      <c r="F232" s="112"/>
      <c r="G232" s="112"/>
      <c r="H232" s="112"/>
      <c r="I232" s="112"/>
      <c r="J232" s="133"/>
      <c r="K232" s="96"/>
      <c r="L232" s="134"/>
    </row>
    <row r="233" spans="3:12">
      <c r="C233" s="33"/>
      <c r="D233" s="43"/>
      <c r="E233" s="138"/>
      <c r="F233" s="112"/>
      <c r="G233" s="112"/>
      <c r="H233" s="112"/>
      <c r="I233" s="112"/>
      <c r="J233" s="133"/>
      <c r="K233" s="96"/>
      <c r="L233" s="134"/>
    </row>
    <row r="234" spans="3:12">
      <c r="C234" s="33"/>
      <c r="D234" s="43"/>
      <c r="E234" s="138"/>
      <c r="F234" s="112"/>
      <c r="G234" s="112"/>
      <c r="H234" s="112"/>
      <c r="I234" s="112"/>
      <c r="J234" s="133"/>
      <c r="K234" s="96"/>
      <c r="L234" s="134"/>
    </row>
    <row r="235" spans="3:12">
      <c r="C235" s="33"/>
      <c r="D235" s="43"/>
      <c r="E235" s="138"/>
      <c r="F235" s="112"/>
      <c r="G235" s="112"/>
      <c r="H235" s="112"/>
      <c r="I235" s="112"/>
      <c r="J235" s="133"/>
      <c r="K235" s="96"/>
      <c r="L235" s="134"/>
    </row>
    <row r="236" spans="3:12">
      <c r="C236" s="33"/>
      <c r="D236" s="43"/>
      <c r="E236" s="138"/>
      <c r="F236" s="112"/>
      <c r="G236" s="112"/>
      <c r="H236" s="112"/>
      <c r="I236" s="112"/>
      <c r="J236" s="133"/>
      <c r="K236" s="96"/>
      <c r="L236" s="134"/>
    </row>
    <row r="237" spans="3:12">
      <c r="C237" s="33"/>
      <c r="D237" s="43"/>
      <c r="E237" s="138"/>
      <c r="F237" s="112"/>
      <c r="G237" s="112"/>
      <c r="H237" s="112"/>
      <c r="I237" s="112"/>
      <c r="J237" s="133"/>
      <c r="K237" s="96"/>
      <c r="L237" s="134"/>
    </row>
    <row r="238" spans="3:12">
      <c r="C238" s="33"/>
      <c r="D238" s="43"/>
      <c r="E238" s="138"/>
      <c r="F238" s="112"/>
      <c r="G238" s="112"/>
      <c r="H238" s="112"/>
      <c r="I238" s="112"/>
      <c r="J238" s="133"/>
      <c r="K238" s="96"/>
      <c r="L238" s="134"/>
    </row>
    <row r="239" spans="3:12">
      <c r="C239" s="33"/>
      <c r="D239" s="43"/>
      <c r="E239" s="138"/>
      <c r="F239" s="112"/>
      <c r="G239" s="112"/>
      <c r="H239" s="112"/>
      <c r="I239" s="112"/>
      <c r="J239" s="133"/>
      <c r="K239" s="96"/>
      <c r="L239" s="134"/>
    </row>
    <row r="240" spans="3:12">
      <c r="C240" s="33"/>
      <c r="D240" s="43"/>
      <c r="E240" s="138"/>
      <c r="F240" s="112"/>
      <c r="G240" s="112"/>
      <c r="H240" s="112"/>
      <c r="I240" s="112"/>
      <c r="J240" s="133"/>
      <c r="K240" s="96"/>
      <c r="L240" s="134"/>
    </row>
    <row r="241" spans="3:12">
      <c r="C241" s="33"/>
      <c r="D241" s="43"/>
      <c r="E241" s="138"/>
      <c r="F241" s="112"/>
      <c r="G241" s="112"/>
      <c r="H241" s="112"/>
      <c r="I241" s="112"/>
      <c r="J241" s="133"/>
      <c r="K241" s="96"/>
      <c r="L241" s="134"/>
    </row>
    <row r="242" spans="3:12">
      <c r="C242" s="33"/>
      <c r="D242" s="43"/>
      <c r="E242" s="138"/>
      <c r="F242" s="112"/>
      <c r="G242" s="112"/>
      <c r="H242" s="112"/>
      <c r="I242" s="112"/>
      <c r="J242" s="133"/>
      <c r="K242" s="96"/>
      <c r="L242" s="134"/>
    </row>
    <row r="243" spans="3:12">
      <c r="C243" s="33"/>
      <c r="D243" s="43"/>
      <c r="E243" s="138"/>
      <c r="F243" s="112"/>
      <c r="G243" s="112"/>
      <c r="H243" s="112"/>
      <c r="I243" s="112"/>
      <c r="J243" s="133"/>
      <c r="K243" s="96"/>
      <c r="L243" s="134"/>
    </row>
    <row r="244" spans="3:12">
      <c r="C244" s="33"/>
      <c r="D244" s="43"/>
      <c r="E244" s="138"/>
      <c r="F244" s="112"/>
      <c r="G244" s="112"/>
      <c r="H244" s="112"/>
      <c r="I244" s="112"/>
      <c r="J244" s="133"/>
      <c r="K244" s="96"/>
      <c r="L244" s="134"/>
    </row>
    <row r="245" spans="3:12">
      <c r="C245" s="33"/>
      <c r="D245" s="43"/>
      <c r="E245" s="138"/>
      <c r="F245" s="112"/>
      <c r="G245" s="112"/>
      <c r="H245" s="112"/>
      <c r="I245" s="112"/>
      <c r="J245" s="133"/>
      <c r="K245" s="96"/>
      <c r="L245" s="134"/>
    </row>
    <row r="246" spans="3:12">
      <c r="C246" s="33"/>
      <c r="D246" s="43"/>
      <c r="E246" s="138"/>
      <c r="F246" s="112"/>
      <c r="G246" s="112"/>
      <c r="H246" s="112"/>
      <c r="I246" s="112"/>
      <c r="J246" s="133"/>
      <c r="K246" s="96"/>
      <c r="L246" s="134"/>
    </row>
    <row r="247" spans="3:12">
      <c r="C247" s="33"/>
      <c r="D247" s="43"/>
      <c r="E247" s="138"/>
      <c r="F247" s="112"/>
      <c r="G247" s="112"/>
      <c r="H247" s="112"/>
      <c r="I247" s="112"/>
      <c r="J247" s="133"/>
      <c r="K247" s="96"/>
      <c r="L247" s="134"/>
    </row>
    <row r="248" spans="3:12">
      <c r="C248" s="33"/>
      <c r="D248" s="43"/>
      <c r="E248" s="138"/>
      <c r="F248" s="112"/>
      <c r="G248" s="112"/>
      <c r="H248" s="112"/>
      <c r="I248" s="112"/>
      <c r="J248" s="133"/>
      <c r="K248" s="96"/>
      <c r="L248" s="134"/>
    </row>
    <row r="249" spans="3:12">
      <c r="C249" s="33"/>
      <c r="D249" s="43"/>
      <c r="E249" s="138"/>
      <c r="F249" s="112"/>
      <c r="G249" s="112"/>
      <c r="H249" s="112"/>
      <c r="I249" s="112"/>
      <c r="J249" s="133"/>
      <c r="K249" s="96"/>
      <c r="L249" s="134"/>
    </row>
    <row r="250" spans="3:12">
      <c r="C250" s="33"/>
      <c r="D250" s="43"/>
      <c r="E250" s="138"/>
      <c r="F250" s="112"/>
      <c r="G250" s="112"/>
      <c r="H250" s="112"/>
      <c r="I250" s="112"/>
      <c r="J250" s="133"/>
      <c r="K250" s="96"/>
      <c r="L250" s="134"/>
    </row>
    <row r="251" spans="3:12">
      <c r="C251" s="33"/>
      <c r="D251" s="43"/>
      <c r="E251" s="138"/>
      <c r="F251" s="112"/>
      <c r="G251" s="112"/>
      <c r="H251" s="112"/>
      <c r="I251" s="112"/>
      <c r="J251" s="133"/>
      <c r="K251" s="96"/>
      <c r="L251" s="134"/>
    </row>
    <row r="252" spans="3:12">
      <c r="C252" s="33"/>
      <c r="D252" s="43"/>
      <c r="E252" s="138"/>
      <c r="F252" s="112"/>
      <c r="G252" s="112"/>
      <c r="H252" s="112"/>
      <c r="I252" s="112"/>
      <c r="J252" s="133"/>
      <c r="K252" s="96"/>
      <c r="L252" s="134"/>
    </row>
    <row r="253" spans="3:12">
      <c r="C253" s="33"/>
      <c r="D253" s="43"/>
      <c r="E253" s="138"/>
      <c r="F253" s="112"/>
      <c r="G253" s="112"/>
      <c r="H253" s="112"/>
      <c r="I253" s="112"/>
      <c r="J253" s="133"/>
      <c r="K253" s="96"/>
      <c r="L253" s="134"/>
    </row>
    <row r="254" spans="3:12">
      <c r="C254" s="33"/>
      <c r="D254" s="43"/>
      <c r="E254" s="138"/>
      <c r="F254" s="112"/>
      <c r="G254" s="112"/>
      <c r="H254" s="112"/>
      <c r="I254" s="112"/>
      <c r="J254" s="133"/>
      <c r="K254" s="96"/>
      <c r="L254" s="134"/>
    </row>
    <row r="255" spans="3:12">
      <c r="C255" s="33"/>
      <c r="D255" s="43"/>
      <c r="E255" s="138"/>
      <c r="F255" s="112"/>
      <c r="G255" s="112"/>
      <c r="H255" s="112"/>
      <c r="I255" s="112"/>
      <c r="J255" s="133"/>
      <c r="K255" s="96"/>
      <c r="L255" s="134"/>
    </row>
    <row r="256" spans="3:12">
      <c r="C256" s="33"/>
      <c r="D256" s="43"/>
      <c r="E256" s="138"/>
      <c r="F256" s="112"/>
      <c r="G256" s="112"/>
      <c r="H256" s="112"/>
      <c r="I256" s="112"/>
      <c r="J256" s="133"/>
      <c r="K256" s="96"/>
      <c r="L256" s="134"/>
    </row>
    <row r="257" spans="3:12">
      <c r="C257" s="33"/>
      <c r="D257" s="43"/>
      <c r="E257" s="138"/>
      <c r="F257" s="112"/>
      <c r="G257" s="112"/>
      <c r="H257" s="112"/>
      <c r="I257" s="112"/>
      <c r="J257" s="133"/>
      <c r="K257" s="96"/>
      <c r="L257" s="134"/>
    </row>
    <row r="258" spans="3:12">
      <c r="C258" s="33"/>
      <c r="D258" s="43"/>
      <c r="E258" s="138"/>
      <c r="F258" s="112"/>
      <c r="G258" s="112"/>
      <c r="H258" s="112"/>
      <c r="I258" s="112"/>
      <c r="J258" s="133"/>
      <c r="K258" s="96"/>
      <c r="L258" s="134"/>
    </row>
    <row r="259" spans="3:12">
      <c r="C259" s="33"/>
      <c r="D259" s="43"/>
      <c r="E259" s="138"/>
      <c r="F259" s="112"/>
      <c r="G259" s="112"/>
      <c r="H259" s="112"/>
      <c r="I259" s="112"/>
      <c r="J259" s="133"/>
      <c r="K259" s="96"/>
      <c r="L259" s="134"/>
    </row>
    <row r="260" spans="3:12">
      <c r="C260" s="33"/>
      <c r="D260" s="43"/>
      <c r="E260" s="138"/>
      <c r="F260" s="112"/>
      <c r="G260" s="112"/>
      <c r="H260" s="112"/>
      <c r="I260" s="112"/>
      <c r="J260" s="133"/>
      <c r="K260" s="96"/>
      <c r="L260" s="134"/>
    </row>
    <row r="261" spans="3:12">
      <c r="C261" s="33"/>
      <c r="D261" s="43"/>
      <c r="E261" s="138"/>
      <c r="F261" s="112"/>
      <c r="G261" s="112"/>
      <c r="H261" s="112"/>
      <c r="I261" s="112"/>
      <c r="J261" s="133"/>
      <c r="K261" s="96"/>
      <c r="L261" s="134"/>
    </row>
    <row r="262" spans="3:12">
      <c r="C262" s="33"/>
      <c r="D262" s="43"/>
      <c r="E262" s="138"/>
      <c r="F262" s="112"/>
      <c r="G262" s="112"/>
      <c r="H262" s="112"/>
      <c r="I262" s="112"/>
      <c r="J262" s="133"/>
      <c r="K262" s="96"/>
      <c r="L262" s="134"/>
    </row>
    <row r="263" spans="3:12">
      <c r="C263" s="33"/>
      <c r="D263" s="43"/>
      <c r="E263" s="138"/>
      <c r="F263" s="112"/>
      <c r="G263" s="112"/>
      <c r="H263" s="112"/>
      <c r="I263" s="112"/>
      <c r="J263" s="133"/>
      <c r="K263" s="96"/>
      <c r="L263" s="134"/>
    </row>
    <row r="264" spans="3:12">
      <c r="C264" s="33"/>
      <c r="D264" s="43"/>
      <c r="E264" s="138"/>
      <c r="F264" s="112"/>
      <c r="G264" s="112"/>
      <c r="H264" s="112"/>
      <c r="I264" s="112"/>
      <c r="J264" s="133"/>
      <c r="K264" s="96"/>
      <c r="L264" s="134"/>
    </row>
    <row r="265" spans="3:12">
      <c r="C265" s="33"/>
      <c r="D265" s="43"/>
      <c r="E265" s="138"/>
      <c r="F265" s="112"/>
      <c r="G265" s="112"/>
      <c r="H265" s="112"/>
      <c r="I265" s="112"/>
      <c r="J265" s="133"/>
      <c r="K265" s="96"/>
      <c r="L265" s="134"/>
    </row>
    <row r="266" spans="3:12">
      <c r="C266" s="33"/>
      <c r="D266" s="43"/>
      <c r="E266" s="138"/>
      <c r="F266" s="112"/>
      <c r="G266" s="112"/>
      <c r="H266" s="112"/>
      <c r="I266" s="112"/>
      <c r="J266" s="133"/>
      <c r="K266" s="96"/>
      <c r="L266" s="134"/>
    </row>
    <row r="267" spans="3:12">
      <c r="C267" s="33"/>
      <c r="D267" s="43"/>
      <c r="E267" s="138"/>
      <c r="F267" s="112"/>
      <c r="G267" s="112"/>
      <c r="H267" s="112"/>
      <c r="I267" s="112"/>
      <c r="J267" s="133"/>
      <c r="K267" s="96"/>
      <c r="L267" s="134"/>
    </row>
    <row r="268" spans="3:12">
      <c r="C268" s="33"/>
      <c r="D268" s="43"/>
      <c r="E268" s="138"/>
      <c r="F268" s="112"/>
      <c r="G268" s="112"/>
      <c r="H268" s="112"/>
      <c r="I268" s="112"/>
      <c r="J268" s="133"/>
      <c r="K268" s="96"/>
      <c r="L268" s="134"/>
    </row>
    <row r="269" spans="3:12">
      <c r="C269" s="33"/>
      <c r="D269" s="43"/>
      <c r="E269" s="138"/>
      <c r="F269" s="112"/>
      <c r="G269" s="112"/>
      <c r="H269" s="112"/>
      <c r="I269" s="112"/>
      <c r="J269" s="133"/>
      <c r="K269" s="96"/>
      <c r="L269" s="134"/>
    </row>
    <row r="270" spans="3:12">
      <c r="C270" s="33"/>
      <c r="D270" s="43"/>
      <c r="E270" s="138"/>
      <c r="F270" s="112"/>
      <c r="G270" s="112"/>
      <c r="H270" s="112"/>
      <c r="I270" s="112"/>
      <c r="J270" s="133"/>
      <c r="K270" s="96"/>
      <c r="L270" s="134"/>
    </row>
    <row r="271" spans="3:12">
      <c r="C271" s="33"/>
      <c r="D271" s="43"/>
      <c r="E271" s="138"/>
      <c r="F271" s="112"/>
      <c r="G271" s="112"/>
      <c r="H271" s="112"/>
      <c r="I271" s="112"/>
      <c r="J271" s="133"/>
      <c r="K271" s="96"/>
      <c r="L271" s="134"/>
    </row>
    <row r="272" spans="3:12">
      <c r="C272" s="33"/>
      <c r="D272" s="43"/>
      <c r="E272" s="138"/>
      <c r="F272" s="112"/>
      <c r="G272" s="112"/>
      <c r="H272" s="112"/>
      <c r="I272" s="112"/>
      <c r="J272" s="133"/>
      <c r="K272" s="96"/>
      <c r="L272" s="134"/>
    </row>
    <row r="273" spans="3:12">
      <c r="C273" s="33"/>
      <c r="D273" s="43"/>
      <c r="E273" s="138"/>
      <c r="F273" s="112"/>
      <c r="G273" s="112"/>
      <c r="H273" s="112"/>
      <c r="I273" s="112"/>
      <c r="J273" s="133"/>
      <c r="K273" s="96"/>
      <c r="L273" s="134"/>
    </row>
    <row r="274" spans="3:12">
      <c r="C274" s="33"/>
      <c r="D274" s="43"/>
      <c r="E274" s="138"/>
      <c r="F274" s="112"/>
      <c r="G274" s="112"/>
      <c r="H274" s="112"/>
      <c r="I274" s="112"/>
      <c r="J274" s="133"/>
      <c r="K274" s="96"/>
      <c r="L274" s="134"/>
    </row>
    <row r="275" spans="3:12">
      <c r="C275" s="33"/>
      <c r="D275" s="43"/>
      <c r="E275" s="138"/>
      <c r="F275" s="112"/>
      <c r="G275" s="112"/>
      <c r="H275" s="112"/>
      <c r="I275" s="112"/>
      <c r="J275" s="133"/>
      <c r="K275" s="96"/>
      <c r="L275" s="134"/>
    </row>
    <row r="276" spans="3:12">
      <c r="C276" s="33"/>
      <c r="D276" s="43"/>
      <c r="E276" s="138"/>
      <c r="F276" s="112"/>
      <c r="G276" s="112"/>
      <c r="H276" s="112"/>
      <c r="I276" s="112"/>
      <c r="J276" s="133"/>
      <c r="K276" s="96"/>
      <c r="L276" s="134"/>
    </row>
    <row r="277" spans="3:12">
      <c r="C277" s="33"/>
      <c r="D277" s="43"/>
      <c r="E277" s="138"/>
      <c r="F277" s="112"/>
      <c r="G277" s="112"/>
      <c r="H277" s="112"/>
      <c r="I277" s="112"/>
      <c r="J277" s="133"/>
      <c r="K277" s="96"/>
      <c r="L277" s="134"/>
    </row>
    <row r="278" spans="3:12">
      <c r="C278" s="33"/>
      <c r="D278" s="43"/>
      <c r="E278" s="138"/>
      <c r="F278" s="112"/>
      <c r="G278" s="112"/>
      <c r="H278" s="112"/>
      <c r="I278" s="112"/>
      <c r="J278" s="133"/>
      <c r="K278" s="96"/>
      <c r="L278" s="134"/>
    </row>
    <row r="279" spans="3:12">
      <c r="C279" s="33"/>
      <c r="D279" s="43"/>
      <c r="E279" s="138"/>
      <c r="F279" s="112"/>
      <c r="G279" s="112"/>
      <c r="H279" s="112"/>
      <c r="I279" s="112"/>
      <c r="J279" s="133"/>
      <c r="K279" s="96"/>
      <c r="L279" s="134"/>
    </row>
    <row r="280" spans="3:12">
      <c r="C280" s="33"/>
      <c r="D280" s="43"/>
      <c r="E280" s="138"/>
      <c r="F280" s="112"/>
      <c r="G280" s="112"/>
      <c r="H280" s="112"/>
      <c r="I280" s="112"/>
      <c r="J280" s="133"/>
      <c r="K280" s="96"/>
      <c r="L280" s="134"/>
    </row>
    <row r="281" spans="3:12">
      <c r="C281" s="33"/>
      <c r="D281" s="43"/>
      <c r="E281" s="138"/>
      <c r="F281" s="112"/>
      <c r="G281" s="112"/>
      <c r="H281" s="112"/>
      <c r="I281" s="112"/>
      <c r="J281" s="133"/>
      <c r="K281" s="96"/>
      <c r="L281" s="134"/>
    </row>
    <row r="282" spans="3:12">
      <c r="C282" s="33"/>
      <c r="D282" s="43"/>
      <c r="E282" s="138"/>
      <c r="F282" s="112"/>
      <c r="G282" s="112"/>
      <c r="H282" s="112"/>
      <c r="I282" s="112"/>
      <c r="J282" s="133"/>
      <c r="K282" s="96"/>
      <c r="L282" s="134"/>
    </row>
    <row r="283" spans="3:12">
      <c r="C283" s="33"/>
      <c r="D283" s="43"/>
      <c r="E283" s="138"/>
      <c r="F283" s="112"/>
      <c r="G283" s="112"/>
      <c r="H283" s="112"/>
      <c r="I283" s="112"/>
      <c r="J283" s="133"/>
      <c r="K283" s="96"/>
      <c r="L283" s="134"/>
    </row>
    <row r="284" spans="3:12">
      <c r="C284" s="33"/>
      <c r="D284" s="43"/>
      <c r="E284" s="138"/>
      <c r="F284" s="112"/>
      <c r="G284" s="112"/>
      <c r="H284" s="112"/>
      <c r="I284" s="112"/>
      <c r="J284" s="133"/>
      <c r="K284" s="96"/>
      <c r="L284" s="134"/>
    </row>
    <row r="285" spans="3:12">
      <c r="C285" s="33"/>
      <c r="D285" s="43"/>
      <c r="E285" s="138"/>
      <c r="F285" s="112"/>
      <c r="G285" s="112"/>
      <c r="H285" s="112"/>
      <c r="I285" s="112"/>
      <c r="J285" s="133"/>
      <c r="K285" s="96"/>
      <c r="L285" s="134"/>
    </row>
    <row r="286" spans="3:12">
      <c r="C286" s="33"/>
      <c r="D286" s="43"/>
      <c r="E286" s="138"/>
      <c r="F286" s="112"/>
      <c r="G286" s="112"/>
      <c r="H286" s="112"/>
      <c r="I286" s="112"/>
      <c r="J286" s="133"/>
      <c r="K286" s="96"/>
      <c r="L286" s="134"/>
    </row>
    <row r="287" spans="3:12">
      <c r="C287" s="33"/>
      <c r="D287" s="43"/>
      <c r="E287" s="138"/>
      <c r="F287" s="112"/>
      <c r="G287" s="112"/>
      <c r="H287" s="112"/>
      <c r="I287" s="112"/>
      <c r="J287" s="133"/>
      <c r="K287" s="96"/>
      <c r="L287" s="134"/>
    </row>
    <row r="288" spans="3:12">
      <c r="C288" s="33"/>
      <c r="D288" s="43"/>
      <c r="E288" s="138"/>
      <c r="F288" s="112"/>
      <c r="G288" s="112"/>
      <c r="H288" s="112"/>
      <c r="I288" s="112"/>
      <c r="J288" s="133"/>
      <c r="K288" s="96"/>
      <c r="L288" s="134"/>
    </row>
    <row r="289" spans="3:12">
      <c r="C289" s="33"/>
      <c r="D289" s="43"/>
      <c r="E289" s="138"/>
      <c r="F289" s="112"/>
      <c r="G289" s="112"/>
      <c r="H289" s="112"/>
      <c r="I289" s="112"/>
      <c r="J289" s="133"/>
      <c r="K289" s="96"/>
      <c r="L289" s="134"/>
    </row>
    <row r="290" spans="3:12">
      <c r="C290" s="33"/>
      <c r="D290" s="43"/>
      <c r="E290" s="138"/>
      <c r="F290" s="112"/>
      <c r="G290" s="112"/>
      <c r="H290" s="112"/>
      <c r="I290" s="112"/>
      <c r="J290" s="133"/>
      <c r="K290" s="96"/>
      <c r="L290" s="134"/>
    </row>
    <row r="291" spans="3:12">
      <c r="C291" s="33"/>
      <c r="D291" s="43"/>
      <c r="E291" s="138"/>
      <c r="F291" s="112"/>
      <c r="G291" s="112"/>
      <c r="H291" s="112"/>
      <c r="I291" s="112"/>
      <c r="J291" s="133"/>
      <c r="K291" s="96"/>
      <c r="L291" s="134"/>
    </row>
    <row r="292" spans="3:12">
      <c r="C292" s="33"/>
      <c r="D292" s="43"/>
      <c r="E292" s="138"/>
      <c r="F292" s="112"/>
      <c r="G292" s="112"/>
      <c r="H292" s="112"/>
      <c r="I292" s="112"/>
      <c r="J292" s="133"/>
      <c r="K292" s="96"/>
      <c r="L292" s="134"/>
    </row>
    <row r="293" spans="3:12">
      <c r="C293" s="33"/>
      <c r="D293" s="43"/>
      <c r="E293" s="138"/>
      <c r="F293" s="112"/>
      <c r="G293" s="112"/>
      <c r="H293" s="112"/>
      <c r="I293" s="112"/>
      <c r="J293" s="133"/>
      <c r="K293" s="96"/>
      <c r="L293" s="134"/>
    </row>
    <row r="294" spans="3:12">
      <c r="C294" s="33"/>
      <c r="D294" s="43"/>
      <c r="E294" s="138"/>
      <c r="F294" s="112"/>
      <c r="G294" s="112"/>
      <c r="H294" s="112"/>
      <c r="I294" s="112"/>
      <c r="J294" s="133"/>
      <c r="K294" s="96"/>
      <c r="L294" s="134"/>
    </row>
    <row r="295" spans="3:12">
      <c r="C295" s="33"/>
      <c r="D295" s="43"/>
      <c r="E295" s="138"/>
      <c r="F295" s="112"/>
      <c r="G295" s="112"/>
      <c r="H295" s="112"/>
      <c r="I295" s="112"/>
      <c r="J295" s="133"/>
      <c r="K295" s="96"/>
      <c r="L295" s="134"/>
    </row>
    <row r="296" spans="3:12">
      <c r="C296" s="33"/>
      <c r="D296" s="43"/>
      <c r="E296" s="138"/>
      <c r="F296" s="112"/>
      <c r="G296" s="112"/>
      <c r="H296" s="112"/>
      <c r="I296" s="112"/>
      <c r="J296" s="133"/>
      <c r="K296" s="96"/>
      <c r="L296" s="134"/>
    </row>
    <row r="297" spans="3:12">
      <c r="C297" s="33"/>
      <c r="D297" s="43"/>
      <c r="E297" s="138"/>
      <c r="F297" s="112"/>
      <c r="G297" s="112"/>
      <c r="H297" s="112"/>
      <c r="I297" s="112"/>
      <c r="J297" s="133"/>
      <c r="K297" s="96"/>
      <c r="L297" s="134"/>
    </row>
    <row r="298" spans="3:12">
      <c r="C298" s="33"/>
      <c r="D298" s="43"/>
      <c r="E298" s="138"/>
      <c r="F298" s="112"/>
      <c r="G298" s="112"/>
      <c r="H298" s="112"/>
      <c r="I298" s="112"/>
      <c r="J298" s="133"/>
      <c r="K298" s="96"/>
      <c r="L298" s="134"/>
    </row>
    <row r="299" spans="3:12">
      <c r="C299" s="33"/>
      <c r="D299" s="43"/>
      <c r="E299" s="138"/>
      <c r="F299" s="112"/>
      <c r="G299" s="112"/>
      <c r="H299" s="112"/>
      <c r="I299" s="112"/>
      <c r="J299" s="133"/>
      <c r="K299" s="96"/>
      <c r="L299" s="134"/>
    </row>
    <row r="300" spans="3:12">
      <c r="C300" s="33"/>
      <c r="D300" s="43"/>
      <c r="E300" s="138"/>
      <c r="F300" s="112"/>
      <c r="G300" s="112"/>
      <c r="H300" s="112"/>
      <c r="I300" s="112"/>
      <c r="J300" s="133"/>
      <c r="K300" s="96"/>
      <c r="L300" s="134"/>
    </row>
    <row r="301" spans="3:12">
      <c r="C301" s="33"/>
      <c r="D301" s="43"/>
      <c r="E301" s="138"/>
      <c r="F301" s="112"/>
      <c r="G301" s="112"/>
      <c r="H301" s="112"/>
      <c r="I301" s="112"/>
      <c r="J301" s="133"/>
      <c r="K301" s="96"/>
      <c r="L301" s="134"/>
    </row>
    <row r="302" spans="3:12">
      <c r="C302" s="33"/>
      <c r="D302" s="43"/>
      <c r="E302" s="138"/>
      <c r="F302" s="112"/>
      <c r="G302" s="112"/>
      <c r="H302" s="112"/>
      <c r="I302" s="112"/>
      <c r="J302" s="133"/>
      <c r="K302" s="96"/>
      <c r="L302" s="134"/>
    </row>
    <row r="303" spans="3:12">
      <c r="C303" s="33"/>
      <c r="D303" s="43"/>
      <c r="E303" s="138"/>
      <c r="F303" s="112"/>
      <c r="G303" s="112"/>
      <c r="H303" s="112"/>
      <c r="I303" s="112"/>
      <c r="J303" s="133"/>
      <c r="K303" s="96"/>
      <c r="L303" s="134"/>
    </row>
    <row r="304" spans="3:12">
      <c r="C304" s="33"/>
      <c r="D304" s="43"/>
      <c r="E304" s="138"/>
      <c r="F304" s="112"/>
      <c r="G304" s="112"/>
      <c r="H304" s="112"/>
      <c r="I304" s="112"/>
      <c r="J304" s="133"/>
      <c r="K304" s="96"/>
      <c r="L304" s="134"/>
    </row>
    <row r="305" spans="3:12">
      <c r="C305" s="33"/>
      <c r="D305" s="43"/>
      <c r="E305" s="138"/>
      <c r="F305" s="112"/>
      <c r="G305" s="112"/>
      <c r="H305" s="112"/>
      <c r="I305" s="112"/>
      <c r="J305" s="133"/>
      <c r="K305" s="96"/>
      <c r="L305" s="134"/>
    </row>
    <row r="306" spans="3:12">
      <c r="C306" s="33"/>
      <c r="D306" s="43"/>
      <c r="E306" s="138"/>
      <c r="F306" s="112"/>
      <c r="G306" s="112"/>
      <c r="H306" s="112"/>
      <c r="I306" s="112"/>
      <c r="J306" s="133"/>
      <c r="K306" s="96"/>
      <c r="L306" s="134"/>
    </row>
    <row r="307" spans="3:12">
      <c r="C307" s="33"/>
      <c r="D307" s="43"/>
      <c r="E307" s="138"/>
      <c r="F307" s="112"/>
      <c r="G307" s="112"/>
      <c r="H307" s="112"/>
      <c r="I307" s="112"/>
      <c r="J307" s="133"/>
      <c r="K307" s="96"/>
      <c r="L307" s="134"/>
    </row>
    <row r="308" spans="3:12">
      <c r="C308" s="33"/>
      <c r="D308" s="43"/>
      <c r="E308" s="139"/>
      <c r="F308" s="112"/>
      <c r="G308" s="112"/>
      <c r="H308" s="112"/>
      <c r="I308" s="112"/>
      <c r="J308" s="135"/>
      <c r="K308" s="136"/>
      <c r="L308" s="134"/>
    </row>
    <row r="309" spans="3:12">
      <c r="C309" s="33"/>
      <c r="D309" s="43"/>
      <c r="E309" s="139"/>
      <c r="F309" s="112"/>
      <c r="G309" s="112"/>
      <c r="H309" s="112"/>
      <c r="I309" s="112"/>
      <c r="J309" s="135"/>
      <c r="K309" s="136"/>
      <c r="L309" s="134"/>
    </row>
    <row r="310" spans="3:12">
      <c r="C310" s="33"/>
      <c r="D310" s="43"/>
      <c r="E310" s="139"/>
      <c r="F310" s="112"/>
      <c r="G310" s="112"/>
      <c r="H310" s="112"/>
      <c r="I310" s="112"/>
      <c r="J310" s="135"/>
      <c r="K310" s="136"/>
      <c r="L310" s="134"/>
    </row>
    <row r="311" spans="3:12">
      <c r="C311" s="33"/>
      <c r="D311" s="43"/>
      <c r="E311" s="139"/>
      <c r="F311" s="112"/>
      <c r="G311" s="112"/>
      <c r="H311" s="112"/>
      <c r="I311" s="112"/>
      <c r="J311" s="135"/>
      <c r="K311" s="136"/>
      <c r="L311" s="134"/>
    </row>
    <row r="312" spans="3:12">
      <c r="C312" s="33"/>
      <c r="D312" s="43"/>
      <c r="E312" s="139"/>
      <c r="F312" s="112"/>
      <c r="G312" s="112"/>
      <c r="H312" s="112"/>
      <c r="I312" s="112"/>
      <c r="J312" s="135"/>
      <c r="K312" s="136"/>
      <c r="L312" s="134"/>
    </row>
    <row r="313" spans="3:12">
      <c r="C313" s="33"/>
      <c r="D313" s="43"/>
      <c r="E313" s="139"/>
      <c r="F313" s="112"/>
      <c r="G313" s="112"/>
      <c r="H313" s="112"/>
      <c r="I313" s="112"/>
      <c r="J313" s="135"/>
      <c r="K313" s="136"/>
      <c r="L313" s="134"/>
    </row>
    <row r="314" spans="3:12">
      <c r="C314" s="33"/>
      <c r="D314" s="43"/>
      <c r="E314" s="139"/>
      <c r="F314" s="112"/>
      <c r="G314" s="112"/>
      <c r="H314" s="112"/>
      <c r="I314" s="112"/>
      <c r="J314" s="135"/>
      <c r="K314" s="136"/>
      <c r="L314" s="134"/>
    </row>
    <row r="315" spans="3:12">
      <c r="C315" s="33"/>
      <c r="D315" s="43"/>
      <c r="E315" s="139"/>
      <c r="F315" s="112"/>
      <c r="G315" s="112"/>
      <c r="H315" s="112"/>
      <c r="I315" s="112"/>
      <c r="J315" s="135"/>
      <c r="K315" s="136"/>
      <c r="L315" s="134"/>
    </row>
    <row r="316" spans="3:12">
      <c r="C316" s="33"/>
      <c r="D316" s="43"/>
      <c r="E316" s="139"/>
      <c r="F316" s="112"/>
      <c r="G316" s="112"/>
      <c r="H316" s="112"/>
      <c r="I316" s="112"/>
      <c r="J316" s="135"/>
      <c r="K316" s="136"/>
      <c r="L316" s="134"/>
    </row>
    <row r="317" spans="3:12">
      <c r="C317" s="33"/>
      <c r="D317" s="43"/>
      <c r="E317" s="139"/>
      <c r="F317" s="112"/>
      <c r="G317" s="112"/>
      <c r="H317" s="112"/>
      <c r="I317" s="112"/>
      <c r="J317" s="135"/>
      <c r="K317" s="136"/>
      <c r="L317" s="134"/>
    </row>
    <row r="318" spans="3:12">
      <c r="C318" s="33"/>
      <c r="D318" s="43"/>
      <c r="E318" s="139"/>
      <c r="F318" s="112"/>
      <c r="G318" s="112"/>
      <c r="H318" s="112"/>
      <c r="I318" s="112"/>
      <c r="J318" s="135"/>
      <c r="K318" s="136"/>
      <c r="L318" s="134"/>
    </row>
    <row r="319" spans="3:12">
      <c r="C319" s="33"/>
      <c r="D319" s="43"/>
      <c r="E319" s="139"/>
      <c r="F319" s="112"/>
      <c r="G319" s="112"/>
      <c r="H319" s="112"/>
      <c r="I319" s="112"/>
      <c r="J319" s="135"/>
      <c r="K319" s="136"/>
      <c r="L319" s="134"/>
    </row>
    <row r="320" spans="3:12">
      <c r="C320" s="33"/>
      <c r="D320" s="43"/>
      <c r="E320" s="139"/>
      <c r="F320" s="112"/>
      <c r="G320" s="112"/>
      <c r="H320" s="112"/>
      <c r="I320" s="112"/>
      <c r="J320" s="135"/>
      <c r="K320" s="136"/>
      <c r="L320" s="134"/>
    </row>
    <row r="321" spans="3:12">
      <c r="C321" s="33"/>
      <c r="D321" s="43"/>
      <c r="E321" s="139"/>
      <c r="F321" s="112"/>
      <c r="G321" s="112"/>
      <c r="H321" s="112"/>
      <c r="I321" s="112"/>
      <c r="J321" s="135"/>
      <c r="K321" s="136"/>
      <c r="L321" s="134"/>
    </row>
    <row r="322" spans="3:12">
      <c r="C322" s="33"/>
      <c r="D322" s="43"/>
      <c r="E322" s="139"/>
      <c r="F322" s="112"/>
      <c r="G322" s="112"/>
      <c r="H322" s="112"/>
      <c r="I322" s="112"/>
      <c r="J322" s="135"/>
      <c r="K322" s="136"/>
      <c r="L322" s="134"/>
    </row>
    <row r="323" spans="3:12">
      <c r="C323" s="33"/>
      <c r="D323" s="43"/>
      <c r="E323" s="139"/>
      <c r="F323" s="112"/>
      <c r="G323" s="112"/>
      <c r="H323" s="112"/>
      <c r="I323" s="112"/>
      <c r="J323" s="135"/>
      <c r="K323" s="136"/>
      <c r="L323" s="134"/>
    </row>
    <row r="324" spans="3:12">
      <c r="C324" s="33"/>
      <c r="D324" s="43"/>
      <c r="E324" s="139"/>
      <c r="F324" s="112"/>
      <c r="G324" s="112"/>
      <c r="H324" s="112"/>
      <c r="I324" s="112"/>
      <c r="J324" s="135"/>
      <c r="K324" s="136"/>
      <c r="L324" s="134"/>
    </row>
    <row r="325" spans="3:12">
      <c r="C325" s="33"/>
      <c r="D325" s="43"/>
      <c r="E325" s="139"/>
      <c r="F325" s="112"/>
      <c r="G325" s="112"/>
      <c r="H325" s="112"/>
      <c r="I325" s="112"/>
      <c r="J325" s="135"/>
      <c r="K325" s="136"/>
      <c r="L325" s="134"/>
    </row>
    <row r="326" spans="3:12">
      <c r="C326" s="33"/>
      <c r="D326" s="43"/>
      <c r="E326" s="139"/>
      <c r="F326" s="112"/>
      <c r="G326" s="112"/>
      <c r="H326" s="112"/>
      <c r="I326" s="112"/>
      <c r="J326" s="135"/>
      <c r="K326" s="136"/>
      <c r="L326" s="134"/>
    </row>
    <row r="327" spans="3:12">
      <c r="C327" s="33"/>
      <c r="D327" s="43"/>
      <c r="E327" s="139"/>
      <c r="F327" s="112"/>
      <c r="G327" s="112"/>
      <c r="H327" s="112"/>
      <c r="I327" s="112"/>
      <c r="J327" s="135"/>
      <c r="K327" s="136"/>
      <c r="L327" s="134"/>
    </row>
    <row r="328" spans="3:12">
      <c r="C328" s="33"/>
      <c r="D328" s="43"/>
      <c r="E328" s="139"/>
      <c r="F328" s="112"/>
      <c r="G328" s="112"/>
      <c r="H328" s="112"/>
      <c r="I328" s="112"/>
      <c r="J328" s="135"/>
      <c r="K328" s="136"/>
      <c r="L328" s="134"/>
    </row>
    <row r="329" spans="3:12">
      <c r="C329" s="33"/>
      <c r="D329" s="43"/>
      <c r="E329" s="139"/>
      <c r="F329" s="112"/>
      <c r="G329" s="112"/>
      <c r="H329" s="112"/>
      <c r="I329" s="112"/>
      <c r="J329" s="135"/>
      <c r="K329" s="136"/>
      <c r="L329" s="134"/>
    </row>
    <row r="330" spans="3:12">
      <c r="C330" s="33"/>
      <c r="D330" s="43"/>
      <c r="E330" s="139"/>
      <c r="F330" s="112"/>
      <c r="G330" s="112"/>
      <c r="H330" s="112"/>
      <c r="I330" s="112"/>
      <c r="J330" s="135"/>
      <c r="K330" s="136"/>
      <c r="L330" s="134"/>
    </row>
    <row r="331" spans="3:12">
      <c r="C331" s="33"/>
      <c r="D331" s="43"/>
      <c r="E331" s="139"/>
      <c r="F331" s="112"/>
      <c r="G331" s="112"/>
      <c r="H331" s="112"/>
      <c r="I331" s="112"/>
      <c r="J331" s="135"/>
      <c r="K331" s="136"/>
      <c r="L331" s="134"/>
    </row>
    <row r="332" spans="3:12">
      <c r="C332" s="33"/>
      <c r="D332" s="43"/>
      <c r="E332" s="139"/>
      <c r="F332" s="112"/>
      <c r="G332" s="112"/>
      <c r="H332" s="112"/>
      <c r="I332" s="112"/>
      <c r="J332" s="135"/>
      <c r="K332" s="136"/>
      <c r="L332" s="134"/>
    </row>
    <row r="333" spans="3:12">
      <c r="C333" s="33"/>
      <c r="D333" s="43"/>
      <c r="E333" s="139"/>
      <c r="F333" s="112"/>
      <c r="G333" s="112"/>
      <c r="H333" s="112"/>
      <c r="I333" s="112"/>
      <c r="J333" s="135"/>
      <c r="K333" s="136"/>
      <c r="L333" s="134"/>
    </row>
    <row r="334" spans="3:12">
      <c r="C334" s="33"/>
      <c r="D334" s="43"/>
      <c r="E334" s="139"/>
      <c r="F334" s="112"/>
      <c r="G334" s="112"/>
      <c r="H334" s="112"/>
      <c r="I334" s="112"/>
      <c r="J334" s="135"/>
      <c r="K334" s="136"/>
      <c r="L334" s="134"/>
    </row>
    <row r="335" spans="3:12">
      <c r="C335" s="33"/>
      <c r="D335" s="43"/>
      <c r="E335" s="139"/>
      <c r="F335" s="112"/>
      <c r="G335" s="112"/>
      <c r="H335" s="112"/>
      <c r="I335" s="112"/>
      <c r="J335" s="135"/>
      <c r="K335" s="136"/>
      <c r="L335" s="134"/>
    </row>
    <row r="336" spans="3:12">
      <c r="C336" s="33"/>
      <c r="D336" s="43"/>
      <c r="E336" s="139"/>
      <c r="F336" s="112"/>
      <c r="G336" s="112"/>
      <c r="H336" s="112"/>
      <c r="I336" s="112"/>
      <c r="J336" s="135"/>
      <c r="K336" s="136"/>
      <c r="L336" s="134"/>
    </row>
    <row r="337" spans="3:12">
      <c r="C337" s="33"/>
      <c r="D337" s="43"/>
      <c r="E337" s="139"/>
      <c r="F337" s="112"/>
      <c r="G337" s="112"/>
      <c r="H337" s="112"/>
      <c r="I337" s="112"/>
      <c r="J337" s="135"/>
      <c r="K337" s="136"/>
      <c r="L337" s="134"/>
    </row>
    <row r="338" spans="3:12">
      <c r="C338" s="33"/>
      <c r="D338" s="43"/>
      <c r="E338" s="139"/>
      <c r="F338" s="112"/>
      <c r="G338" s="112"/>
      <c r="H338" s="112"/>
      <c r="I338" s="112"/>
      <c r="J338" s="135"/>
      <c r="K338" s="136"/>
      <c r="L338" s="134"/>
    </row>
    <row r="339" spans="3:12">
      <c r="C339" s="33"/>
      <c r="D339" s="43"/>
      <c r="E339" s="139"/>
      <c r="F339" s="112"/>
      <c r="G339" s="112"/>
      <c r="H339" s="112"/>
      <c r="I339" s="112"/>
      <c r="J339" s="135"/>
      <c r="K339" s="136"/>
      <c r="L339" s="134"/>
    </row>
    <row r="340" spans="3:12">
      <c r="C340" s="33"/>
      <c r="D340" s="43"/>
      <c r="E340" s="139"/>
      <c r="F340" s="112"/>
      <c r="G340" s="112"/>
      <c r="H340" s="112"/>
      <c r="I340" s="112"/>
      <c r="J340" s="135"/>
      <c r="K340" s="136"/>
      <c r="L340" s="134"/>
    </row>
    <row r="341" spans="3:12">
      <c r="C341" s="33"/>
      <c r="D341" s="43"/>
      <c r="E341" s="139"/>
      <c r="F341" s="112"/>
      <c r="G341" s="112"/>
      <c r="H341" s="112"/>
      <c r="I341" s="112"/>
      <c r="J341" s="135"/>
      <c r="K341" s="136"/>
      <c r="L341" s="134"/>
    </row>
    <row r="342" spans="3:12">
      <c r="C342" s="33"/>
      <c r="D342" s="43"/>
      <c r="E342" s="139"/>
      <c r="F342" s="112"/>
      <c r="G342" s="112"/>
      <c r="H342" s="112"/>
      <c r="I342" s="112"/>
      <c r="J342" s="135"/>
      <c r="K342" s="136"/>
      <c r="L342" s="134"/>
    </row>
    <row r="343" spans="3:12">
      <c r="C343" s="33"/>
      <c r="D343" s="43"/>
      <c r="E343" s="139"/>
      <c r="F343" s="112"/>
      <c r="G343" s="112"/>
      <c r="H343" s="112"/>
      <c r="I343" s="112"/>
      <c r="J343" s="135"/>
      <c r="K343" s="136"/>
      <c r="L343" s="134"/>
    </row>
    <row r="344" spans="3:12">
      <c r="C344" s="33"/>
      <c r="D344" s="43"/>
      <c r="E344" s="139"/>
      <c r="F344" s="112"/>
      <c r="G344" s="112"/>
      <c r="H344" s="112"/>
      <c r="I344" s="112"/>
      <c r="J344" s="135"/>
      <c r="K344" s="136"/>
      <c r="L344" s="134"/>
    </row>
    <row r="345" spans="3:12">
      <c r="C345" s="33"/>
      <c r="D345" s="43"/>
      <c r="E345" s="139"/>
      <c r="F345" s="112"/>
      <c r="G345" s="112"/>
      <c r="H345" s="112"/>
      <c r="I345" s="112"/>
      <c r="J345" s="135"/>
      <c r="K345" s="136"/>
      <c r="L345" s="134"/>
    </row>
    <row r="346" spans="3:12">
      <c r="C346" s="33"/>
      <c r="D346" s="43"/>
      <c r="E346" s="139"/>
      <c r="F346" s="112"/>
      <c r="G346" s="112"/>
      <c r="H346" s="112"/>
      <c r="I346" s="112"/>
      <c r="J346" s="135"/>
      <c r="K346" s="136"/>
      <c r="L346" s="134"/>
    </row>
    <row r="347" spans="3:12">
      <c r="C347" s="33"/>
      <c r="D347" s="43"/>
      <c r="E347" s="139"/>
      <c r="F347" s="112"/>
      <c r="G347" s="112"/>
      <c r="H347" s="112"/>
      <c r="I347" s="112"/>
      <c r="J347" s="135"/>
      <c r="K347" s="136"/>
      <c r="L347" s="134"/>
    </row>
    <row r="348" spans="3:12">
      <c r="C348" s="33"/>
      <c r="D348" s="43"/>
      <c r="E348" s="139"/>
      <c r="F348" s="112"/>
      <c r="G348" s="112"/>
      <c r="H348" s="112"/>
      <c r="I348" s="112"/>
      <c r="J348" s="135"/>
      <c r="K348" s="136"/>
      <c r="L348" s="134"/>
    </row>
    <row r="349" spans="3:12">
      <c r="C349" s="33"/>
      <c r="D349" s="43"/>
      <c r="E349" s="139"/>
      <c r="F349" s="112"/>
      <c r="G349" s="112"/>
      <c r="H349" s="112"/>
      <c r="I349" s="112"/>
      <c r="J349" s="135"/>
      <c r="K349" s="136"/>
      <c r="L349" s="134"/>
    </row>
    <row r="350" spans="3:12">
      <c r="C350" s="33"/>
      <c r="D350" s="43"/>
      <c r="E350" s="139"/>
      <c r="F350" s="112"/>
      <c r="G350" s="112"/>
      <c r="H350" s="112"/>
      <c r="I350" s="112"/>
      <c r="J350" s="135"/>
      <c r="K350" s="136"/>
      <c r="L350" s="134"/>
    </row>
    <row r="351" spans="3:12">
      <c r="C351" s="33"/>
      <c r="D351" s="43"/>
      <c r="E351" s="139"/>
      <c r="F351" s="112"/>
      <c r="G351" s="112"/>
      <c r="H351" s="112"/>
      <c r="I351" s="112"/>
      <c r="J351" s="135"/>
      <c r="K351" s="136"/>
      <c r="L351" s="134"/>
    </row>
    <row r="352" spans="3:12">
      <c r="C352" s="33"/>
      <c r="D352" s="43"/>
      <c r="E352" s="139"/>
      <c r="F352" s="112"/>
      <c r="G352" s="112"/>
      <c r="H352" s="112"/>
      <c r="I352" s="112"/>
      <c r="J352" s="135"/>
      <c r="K352" s="136"/>
      <c r="L352" s="134"/>
    </row>
    <row r="353" spans="3:12">
      <c r="C353" s="33"/>
      <c r="D353" s="43"/>
      <c r="E353" s="139"/>
      <c r="F353" s="112"/>
      <c r="G353" s="112"/>
      <c r="H353" s="112"/>
      <c r="I353" s="112"/>
      <c r="J353" s="135"/>
      <c r="K353" s="136"/>
      <c r="L353" s="134"/>
    </row>
    <row r="354" spans="3:12">
      <c r="C354" s="33"/>
      <c r="D354" s="43"/>
      <c r="E354" s="139"/>
      <c r="F354" s="112"/>
      <c r="G354" s="112"/>
      <c r="H354" s="112"/>
      <c r="I354" s="112"/>
      <c r="J354" s="135"/>
      <c r="K354" s="136"/>
      <c r="L354" s="134"/>
    </row>
    <row r="355" spans="3:12">
      <c r="C355" s="33"/>
      <c r="D355" s="43"/>
      <c r="E355" s="139"/>
      <c r="F355" s="112"/>
      <c r="G355" s="112"/>
      <c r="H355" s="112"/>
      <c r="I355" s="112"/>
      <c r="J355" s="135"/>
      <c r="K355" s="136"/>
      <c r="L355" s="134"/>
    </row>
    <row r="356" spans="3:12">
      <c r="C356" s="33"/>
      <c r="D356" s="43"/>
      <c r="E356" s="139"/>
      <c r="F356" s="112"/>
      <c r="G356" s="112"/>
      <c r="H356" s="112"/>
      <c r="I356" s="112"/>
      <c r="J356" s="135"/>
      <c r="K356" s="136"/>
      <c r="L356" s="134"/>
    </row>
    <row r="357" spans="3:12">
      <c r="C357" s="33"/>
      <c r="D357" s="43"/>
      <c r="E357" s="139"/>
      <c r="F357" s="112"/>
      <c r="G357" s="112"/>
      <c r="H357" s="112"/>
      <c r="I357" s="112"/>
      <c r="J357" s="135"/>
      <c r="K357" s="136"/>
      <c r="L357" s="134"/>
    </row>
    <row r="358" spans="3:12">
      <c r="C358" s="33"/>
      <c r="D358" s="43"/>
      <c r="E358" s="139"/>
      <c r="F358" s="112"/>
      <c r="G358" s="112"/>
      <c r="H358" s="112"/>
      <c r="I358" s="112"/>
      <c r="J358" s="135"/>
      <c r="K358" s="136"/>
      <c r="L358" s="134"/>
    </row>
    <row r="359" spans="3:12">
      <c r="C359" s="33"/>
      <c r="D359" s="43"/>
      <c r="E359" s="139"/>
      <c r="F359" s="112"/>
      <c r="G359" s="112"/>
      <c r="H359" s="112"/>
      <c r="I359" s="112"/>
      <c r="J359" s="135"/>
      <c r="K359" s="136"/>
      <c r="L359" s="134"/>
    </row>
    <row r="360" spans="3:12">
      <c r="C360" s="33"/>
      <c r="D360" s="43"/>
      <c r="E360" s="139"/>
      <c r="F360" s="112"/>
      <c r="G360" s="112"/>
      <c r="H360" s="112"/>
      <c r="I360" s="112"/>
      <c r="J360" s="135"/>
      <c r="K360" s="136"/>
      <c r="L360" s="134"/>
    </row>
    <row r="361" spans="3:12">
      <c r="C361" s="33"/>
      <c r="D361" s="43"/>
      <c r="E361" s="139"/>
      <c r="F361" s="112"/>
      <c r="G361" s="112"/>
      <c r="H361" s="112"/>
      <c r="I361" s="112"/>
      <c r="J361" s="135"/>
      <c r="K361" s="136"/>
      <c r="L361" s="134"/>
    </row>
    <row r="362" spans="3:12">
      <c r="C362" s="33"/>
      <c r="D362" s="43"/>
      <c r="E362" s="139"/>
      <c r="F362" s="112"/>
      <c r="G362" s="112"/>
      <c r="H362" s="112"/>
      <c r="I362" s="112"/>
      <c r="J362" s="135"/>
      <c r="K362" s="136"/>
      <c r="L362" s="134"/>
    </row>
    <row r="363" spans="3:12">
      <c r="C363" s="33"/>
      <c r="D363" s="43"/>
      <c r="E363" s="139"/>
      <c r="F363" s="112"/>
      <c r="G363" s="112"/>
      <c r="H363" s="112"/>
      <c r="I363" s="112"/>
      <c r="J363" s="135"/>
      <c r="K363" s="136"/>
      <c r="L363" s="134"/>
    </row>
    <row r="364" spans="3:12">
      <c r="C364" s="33"/>
      <c r="D364" s="43"/>
      <c r="E364" s="139"/>
      <c r="F364" s="112"/>
      <c r="G364" s="112"/>
      <c r="H364" s="112"/>
      <c r="I364" s="112"/>
      <c r="J364" s="135"/>
      <c r="K364" s="136"/>
      <c r="L364" s="134"/>
    </row>
    <row r="365" spans="3:12">
      <c r="C365" s="33"/>
      <c r="D365" s="43"/>
      <c r="E365" s="139"/>
      <c r="F365" s="112"/>
      <c r="G365" s="112"/>
      <c r="H365" s="112"/>
      <c r="I365" s="112"/>
      <c r="J365" s="135"/>
      <c r="K365" s="136"/>
      <c r="L365" s="134"/>
    </row>
    <row r="366" spans="3:12">
      <c r="C366" s="33"/>
      <c r="D366" s="43"/>
      <c r="E366" s="139"/>
      <c r="F366" s="112"/>
      <c r="G366" s="112"/>
      <c r="H366" s="112"/>
      <c r="I366" s="112"/>
      <c r="J366" s="135"/>
      <c r="K366" s="136"/>
      <c r="L366" s="134"/>
    </row>
    <row r="367" spans="3:12">
      <c r="C367" s="33"/>
      <c r="D367" s="43"/>
      <c r="E367" s="139"/>
      <c r="F367" s="112"/>
      <c r="G367" s="112"/>
      <c r="H367" s="112"/>
      <c r="I367" s="112"/>
      <c r="J367" s="135"/>
      <c r="K367" s="136"/>
      <c r="L367" s="134"/>
    </row>
    <row r="368" spans="3:12">
      <c r="C368" s="33"/>
      <c r="D368" s="43"/>
      <c r="E368" s="139"/>
      <c r="F368" s="112"/>
      <c r="G368" s="112"/>
      <c r="H368" s="112"/>
      <c r="I368" s="112"/>
      <c r="J368" s="135"/>
      <c r="K368" s="136"/>
      <c r="L368" s="134"/>
    </row>
    <row r="369" spans="3:12">
      <c r="C369" s="33"/>
      <c r="D369" s="43"/>
      <c r="E369" s="139"/>
      <c r="F369" s="112"/>
      <c r="G369" s="112"/>
      <c r="H369" s="112"/>
      <c r="I369" s="112"/>
      <c r="J369" s="135"/>
      <c r="K369" s="136"/>
      <c r="L369" s="134"/>
    </row>
    <row r="370" spans="3:12">
      <c r="C370" s="33"/>
      <c r="D370" s="43"/>
      <c r="E370" s="139"/>
      <c r="F370" s="112"/>
      <c r="G370" s="112"/>
      <c r="H370" s="112"/>
      <c r="I370" s="112"/>
      <c r="J370" s="135"/>
      <c r="K370" s="136"/>
      <c r="L370" s="134"/>
    </row>
    <row r="371" spans="3:12">
      <c r="C371" s="33"/>
      <c r="D371" s="43"/>
      <c r="E371" s="139"/>
      <c r="F371" s="112"/>
      <c r="G371" s="112"/>
      <c r="H371" s="112"/>
      <c r="I371" s="112"/>
      <c r="J371" s="135"/>
      <c r="K371" s="136"/>
      <c r="L371" s="134"/>
    </row>
    <row r="372" spans="3:12">
      <c r="C372" s="33"/>
      <c r="D372" s="43"/>
      <c r="E372" s="139"/>
      <c r="F372" s="112"/>
      <c r="G372" s="112"/>
      <c r="H372" s="112"/>
      <c r="I372" s="112"/>
      <c r="J372" s="135"/>
      <c r="K372" s="136"/>
      <c r="L372" s="134"/>
    </row>
    <row r="373" spans="3:12">
      <c r="C373" s="33"/>
      <c r="D373" s="43"/>
      <c r="E373" s="139"/>
      <c r="F373" s="112"/>
      <c r="G373" s="112"/>
      <c r="H373" s="112"/>
      <c r="I373" s="112"/>
      <c r="J373" s="135"/>
      <c r="K373" s="136"/>
      <c r="L373" s="134"/>
    </row>
    <row r="374" spans="3:12">
      <c r="C374" s="33"/>
      <c r="D374" s="43"/>
      <c r="E374" s="139"/>
      <c r="F374" s="112"/>
      <c r="G374" s="112"/>
      <c r="H374" s="112"/>
      <c r="I374" s="112"/>
      <c r="J374" s="135"/>
      <c r="K374" s="136"/>
      <c r="L374" s="134"/>
    </row>
    <row r="375" spans="3:12">
      <c r="C375" s="33"/>
      <c r="D375" s="43"/>
      <c r="E375" s="139"/>
      <c r="F375" s="112"/>
      <c r="G375" s="112"/>
      <c r="H375" s="112"/>
      <c r="I375" s="112"/>
      <c r="J375" s="135"/>
      <c r="K375" s="136"/>
      <c r="L375" s="134"/>
    </row>
    <row r="376" spans="3:12">
      <c r="C376" s="33"/>
      <c r="D376" s="43"/>
      <c r="E376" s="139"/>
      <c r="F376" s="112"/>
      <c r="G376" s="112"/>
      <c r="H376" s="112"/>
      <c r="I376" s="112"/>
      <c r="J376" s="135"/>
      <c r="K376" s="136"/>
      <c r="L376" s="134"/>
    </row>
    <row r="377" spans="3:12">
      <c r="C377" s="33"/>
      <c r="D377" s="43"/>
      <c r="E377" s="139"/>
      <c r="F377" s="112"/>
      <c r="G377" s="112"/>
      <c r="H377" s="112"/>
      <c r="I377" s="112"/>
      <c r="J377" s="135"/>
      <c r="K377" s="136"/>
      <c r="L377" s="134"/>
    </row>
    <row r="378" spans="3:12">
      <c r="C378" s="33"/>
      <c r="D378" s="43"/>
      <c r="E378" s="139"/>
      <c r="F378" s="112"/>
      <c r="G378" s="112"/>
      <c r="H378" s="112"/>
      <c r="I378" s="112"/>
      <c r="J378" s="135"/>
      <c r="K378" s="136"/>
      <c r="L378" s="134"/>
    </row>
    <row r="379" spans="3:12">
      <c r="C379" s="33"/>
      <c r="D379" s="43"/>
      <c r="E379" s="139"/>
      <c r="F379" s="112"/>
      <c r="G379" s="112"/>
      <c r="H379" s="112"/>
      <c r="I379" s="112"/>
      <c r="J379" s="135"/>
      <c r="K379" s="136"/>
      <c r="L379" s="134"/>
    </row>
    <row r="380" spans="3:12">
      <c r="C380" s="33"/>
      <c r="D380" s="43"/>
      <c r="E380" s="139"/>
      <c r="F380" s="112"/>
      <c r="G380" s="112"/>
      <c r="H380" s="112"/>
      <c r="I380" s="112"/>
      <c r="J380" s="135"/>
      <c r="K380" s="136"/>
      <c r="L380" s="134"/>
    </row>
    <row r="381" spans="3:12">
      <c r="C381" s="33"/>
      <c r="D381" s="43"/>
      <c r="E381" s="139"/>
      <c r="F381" s="112"/>
      <c r="G381" s="112"/>
      <c r="H381" s="112"/>
      <c r="I381" s="112"/>
      <c r="J381" s="135"/>
      <c r="K381" s="136"/>
      <c r="L381" s="134"/>
    </row>
    <row r="382" spans="3:12">
      <c r="C382" s="33"/>
      <c r="D382" s="43"/>
      <c r="E382" s="139"/>
      <c r="F382" s="112"/>
      <c r="G382" s="112"/>
      <c r="H382" s="112"/>
      <c r="I382" s="112"/>
      <c r="J382" s="135"/>
      <c r="K382" s="136"/>
      <c r="L382" s="134"/>
    </row>
    <row r="383" spans="3:12">
      <c r="C383" s="33"/>
      <c r="D383" s="43"/>
      <c r="E383" s="139"/>
      <c r="F383" s="112"/>
      <c r="G383" s="112"/>
      <c r="H383" s="112"/>
      <c r="I383" s="112"/>
      <c r="J383" s="135"/>
      <c r="K383" s="136"/>
      <c r="L383" s="134"/>
    </row>
    <row r="384" spans="3:12">
      <c r="C384" s="33"/>
      <c r="D384" s="43"/>
      <c r="E384" s="139"/>
      <c r="F384" s="112"/>
      <c r="G384" s="112"/>
      <c r="H384" s="112"/>
      <c r="I384" s="112"/>
      <c r="J384" s="135"/>
      <c r="K384" s="136"/>
      <c r="L384" s="134"/>
    </row>
    <row r="385" spans="3:12">
      <c r="C385" s="33"/>
      <c r="D385" s="43"/>
      <c r="E385" s="139"/>
      <c r="F385" s="112"/>
      <c r="G385" s="112"/>
      <c r="H385" s="112"/>
      <c r="I385" s="112"/>
      <c r="J385" s="135"/>
      <c r="K385" s="136"/>
      <c r="L385" s="134"/>
    </row>
    <row r="386" spans="3:12">
      <c r="C386" s="33"/>
      <c r="D386" s="43"/>
      <c r="E386" s="139"/>
      <c r="F386" s="112"/>
      <c r="G386" s="112"/>
      <c r="H386" s="112"/>
      <c r="I386" s="112"/>
      <c r="J386" s="135"/>
      <c r="K386" s="136"/>
      <c r="L386" s="134"/>
    </row>
    <row r="387" spans="3:12">
      <c r="C387" s="33"/>
      <c r="D387" s="43"/>
      <c r="E387" s="139"/>
      <c r="F387" s="112"/>
      <c r="G387" s="112"/>
      <c r="H387" s="112"/>
      <c r="I387" s="112"/>
      <c r="J387" s="135"/>
      <c r="K387" s="136"/>
      <c r="L387" s="134"/>
    </row>
    <row r="388" spans="3:12">
      <c r="C388" s="33"/>
      <c r="D388" s="43"/>
      <c r="E388" s="139"/>
      <c r="F388" s="112"/>
      <c r="G388" s="112"/>
      <c r="H388" s="112"/>
      <c r="I388" s="112"/>
      <c r="J388" s="135"/>
      <c r="K388" s="136"/>
      <c r="L388" s="134"/>
    </row>
    <row r="389" spans="3:12">
      <c r="C389" s="33"/>
      <c r="D389" s="43"/>
      <c r="E389" s="139"/>
      <c r="F389" s="112"/>
      <c r="G389" s="112"/>
      <c r="H389" s="112"/>
      <c r="I389" s="112"/>
      <c r="J389" s="135"/>
      <c r="K389" s="136"/>
      <c r="L389" s="134"/>
    </row>
    <row r="390" spans="3:12">
      <c r="C390" s="33"/>
      <c r="D390" s="43"/>
      <c r="E390" s="139"/>
      <c r="F390" s="112"/>
      <c r="G390" s="112"/>
      <c r="H390" s="112"/>
      <c r="I390" s="112"/>
      <c r="J390" s="135"/>
      <c r="K390" s="136"/>
      <c r="L390" s="134"/>
    </row>
    <row r="391" spans="3:12">
      <c r="C391" s="33"/>
      <c r="D391" s="43"/>
      <c r="E391" s="139"/>
      <c r="F391" s="112"/>
      <c r="G391" s="112"/>
      <c r="H391" s="112"/>
      <c r="I391" s="112"/>
      <c r="J391" s="135"/>
      <c r="K391" s="136"/>
      <c r="L391" s="134"/>
    </row>
    <row r="392" spans="3:12">
      <c r="C392" s="33"/>
      <c r="D392" s="43"/>
      <c r="E392" s="139"/>
      <c r="F392" s="112"/>
      <c r="G392" s="112"/>
      <c r="H392" s="112"/>
      <c r="I392" s="112"/>
      <c r="J392" s="135"/>
      <c r="K392" s="136"/>
      <c r="L392" s="134"/>
    </row>
    <row r="393" spans="3:12">
      <c r="C393" s="33"/>
      <c r="D393" s="43"/>
      <c r="E393" s="139"/>
      <c r="F393" s="112"/>
      <c r="G393" s="112"/>
      <c r="H393" s="112"/>
      <c r="I393" s="112"/>
      <c r="J393" s="135"/>
      <c r="K393" s="136"/>
      <c r="L393" s="134"/>
    </row>
    <row r="394" spans="3:12">
      <c r="C394" s="33"/>
      <c r="D394" s="43"/>
      <c r="E394" s="139"/>
      <c r="F394" s="112"/>
      <c r="G394" s="112"/>
      <c r="H394" s="112"/>
      <c r="I394" s="112"/>
      <c r="J394" s="135"/>
      <c r="K394" s="136"/>
      <c r="L394" s="134"/>
    </row>
    <row r="395" spans="3:12">
      <c r="C395" s="33"/>
      <c r="D395" s="43"/>
      <c r="E395" s="139"/>
      <c r="F395" s="112"/>
      <c r="G395" s="112"/>
      <c r="H395" s="112"/>
      <c r="I395" s="112"/>
      <c r="J395" s="135"/>
      <c r="K395" s="136"/>
      <c r="L395" s="134"/>
    </row>
    <row r="396" spans="3:12">
      <c r="C396" s="33"/>
      <c r="D396" s="43"/>
      <c r="E396" s="139"/>
      <c r="F396" s="112"/>
      <c r="G396" s="112"/>
      <c r="H396" s="112"/>
      <c r="I396" s="112"/>
      <c r="J396" s="135"/>
      <c r="K396" s="136"/>
      <c r="L396" s="134"/>
    </row>
    <row r="397" spans="3:12">
      <c r="C397" s="33"/>
      <c r="D397" s="43"/>
      <c r="E397" s="139"/>
      <c r="F397" s="112"/>
      <c r="G397" s="112"/>
      <c r="H397" s="112"/>
      <c r="I397" s="112"/>
      <c r="J397" s="135"/>
      <c r="K397" s="136"/>
      <c r="L397" s="134"/>
    </row>
    <row r="398" spans="3:12">
      <c r="C398" s="33"/>
      <c r="D398" s="43"/>
      <c r="E398" s="139"/>
      <c r="F398" s="112"/>
      <c r="G398" s="112"/>
      <c r="H398" s="112"/>
      <c r="I398" s="112"/>
      <c r="J398" s="135"/>
      <c r="K398" s="136"/>
      <c r="L398" s="134"/>
    </row>
    <row r="399" spans="3:12">
      <c r="C399" s="33"/>
      <c r="D399" s="43"/>
      <c r="E399" s="139"/>
      <c r="F399" s="112"/>
      <c r="G399" s="112"/>
      <c r="H399" s="112"/>
      <c r="I399" s="112"/>
      <c r="J399" s="135"/>
      <c r="K399" s="136"/>
      <c r="L399" s="134"/>
    </row>
    <row r="400" spans="3:12">
      <c r="C400" s="33"/>
      <c r="D400" s="43"/>
      <c r="E400" s="139"/>
      <c r="F400" s="112"/>
      <c r="G400" s="112"/>
      <c r="H400" s="112"/>
      <c r="I400" s="112"/>
      <c r="J400" s="135"/>
      <c r="K400" s="136"/>
      <c r="L400" s="134"/>
    </row>
    <row r="401" spans="3:12">
      <c r="C401" s="33"/>
      <c r="D401" s="43"/>
      <c r="E401" s="139"/>
      <c r="F401" s="112"/>
      <c r="G401" s="112"/>
      <c r="H401" s="112"/>
      <c r="I401" s="112"/>
      <c r="J401" s="135"/>
      <c r="K401" s="136"/>
      <c r="L401" s="134"/>
    </row>
    <row r="402" spans="3:12">
      <c r="C402" s="33"/>
      <c r="D402" s="43"/>
      <c r="E402" s="139"/>
      <c r="F402" s="112"/>
      <c r="G402" s="112"/>
      <c r="H402" s="112"/>
      <c r="I402" s="112"/>
      <c r="J402" s="135"/>
      <c r="K402" s="136"/>
      <c r="L402" s="134"/>
    </row>
    <row r="403" spans="3:12">
      <c r="C403" s="33"/>
      <c r="D403" s="43"/>
      <c r="E403" s="139"/>
      <c r="F403" s="112"/>
      <c r="G403" s="112"/>
      <c r="H403" s="112"/>
      <c r="I403" s="112"/>
      <c r="J403" s="135"/>
      <c r="K403" s="136"/>
      <c r="L403" s="134"/>
    </row>
    <row r="404" spans="3:12">
      <c r="C404" s="33"/>
      <c r="D404" s="43"/>
      <c r="E404" s="139"/>
      <c r="F404" s="112"/>
      <c r="G404" s="112"/>
      <c r="H404" s="112"/>
      <c r="I404" s="112"/>
      <c r="J404" s="135"/>
      <c r="K404" s="136"/>
      <c r="L404" s="134"/>
    </row>
    <row r="405" spans="3:12">
      <c r="C405" s="33"/>
      <c r="D405" s="43"/>
      <c r="E405" s="139"/>
      <c r="F405" s="112"/>
      <c r="G405" s="112"/>
      <c r="H405" s="112"/>
      <c r="I405" s="112"/>
      <c r="J405" s="135"/>
      <c r="K405" s="136"/>
      <c r="L405" s="134"/>
    </row>
    <row r="406" spans="3:12">
      <c r="C406" s="33"/>
      <c r="D406" s="43"/>
      <c r="E406" s="139"/>
      <c r="F406" s="112"/>
      <c r="G406" s="112"/>
      <c r="H406" s="112"/>
      <c r="I406" s="112"/>
      <c r="J406" s="135"/>
      <c r="K406" s="136"/>
      <c r="L406" s="134"/>
    </row>
    <row r="407" spans="3:12">
      <c r="C407" s="33"/>
      <c r="D407" s="43"/>
      <c r="E407" s="139"/>
      <c r="F407" s="112"/>
      <c r="G407" s="112"/>
      <c r="H407" s="112"/>
      <c r="I407" s="112"/>
      <c r="J407" s="135"/>
      <c r="K407" s="136"/>
      <c r="L407" s="134"/>
    </row>
    <row r="408" spans="3:12">
      <c r="C408" s="33"/>
      <c r="D408" s="43"/>
      <c r="E408" s="139"/>
      <c r="F408" s="112"/>
      <c r="G408" s="112"/>
      <c r="H408" s="112"/>
      <c r="I408" s="112"/>
      <c r="J408" s="135"/>
      <c r="K408" s="136"/>
      <c r="L408" s="134"/>
    </row>
    <row r="409" spans="3:12">
      <c r="C409" s="33"/>
      <c r="D409" s="43"/>
      <c r="E409" s="139"/>
      <c r="F409" s="112"/>
      <c r="G409" s="112"/>
      <c r="H409" s="112"/>
      <c r="I409" s="112"/>
      <c r="J409" s="135"/>
      <c r="K409" s="136"/>
      <c r="L409" s="134"/>
    </row>
    <row r="410" spans="3:12">
      <c r="C410" s="33"/>
      <c r="D410" s="43"/>
      <c r="E410" s="139"/>
      <c r="F410" s="112"/>
      <c r="G410" s="112"/>
      <c r="H410" s="112"/>
      <c r="I410" s="112"/>
      <c r="J410" s="135"/>
      <c r="K410" s="136"/>
      <c r="L410" s="134"/>
    </row>
    <row r="411" spans="3:12">
      <c r="C411" s="33"/>
      <c r="D411" s="43"/>
      <c r="E411" s="139"/>
      <c r="F411" s="112"/>
      <c r="G411" s="112"/>
      <c r="H411" s="112"/>
      <c r="I411" s="112"/>
      <c r="J411" s="135"/>
      <c r="K411" s="136"/>
      <c r="L411" s="134"/>
    </row>
    <row r="412" spans="3:12">
      <c r="C412" s="33"/>
      <c r="D412" s="43"/>
      <c r="E412" s="139"/>
      <c r="F412" s="112"/>
      <c r="G412" s="112"/>
      <c r="H412" s="112"/>
      <c r="I412" s="112"/>
      <c r="J412" s="135"/>
      <c r="K412" s="136"/>
      <c r="L412" s="134"/>
    </row>
    <row r="413" spans="3:12">
      <c r="C413" s="33"/>
      <c r="D413" s="43"/>
      <c r="E413" s="139"/>
      <c r="F413" s="112"/>
      <c r="G413" s="112"/>
      <c r="H413" s="112"/>
      <c r="I413" s="112"/>
      <c r="J413" s="135"/>
      <c r="K413" s="136"/>
      <c r="L413" s="134"/>
    </row>
    <row r="414" spans="3:12">
      <c r="C414" s="33"/>
      <c r="D414" s="43"/>
      <c r="E414" s="139"/>
      <c r="F414" s="112"/>
      <c r="G414" s="112"/>
      <c r="H414" s="112"/>
      <c r="I414" s="112"/>
      <c r="J414" s="135"/>
      <c r="K414" s="136"/>
      <c r="L414" s="134"/>
    </row>
    <row r="415" spans="3:12">
      <c r="C415" s="33"/>
      <c r="D415" s="43"/>
      <c r="E415" s="139"/>
      <c r="F415" s="112"/>
      <c r="G415" s="112"/>
      <c r="H415" s="112"/>
      <c r="I415" s="112"/>
      <c r="J415" s="135"/>
      <c r="K415" s="136"/>
      <c r="L415" s="134"/>
    </row>
    <row r="416" spans="3:12">
      <c r="C416" s="33"/>
      <c r="D416" s="43"/>
      <c r="E416" s="139"/>
      <c r="F416" s="112"/>
      <c r="G416" s="112"/>
      <c r="H416" s="112"/>
      <c r="I416" s="112"/>
      <c r="J416" s="135"/>
      <c r="K416" s="136"/>
      <c r="L416" s="134"/>
    </row>
    <row r="417" spans="3:12">
      <c r="C417" s="33"/>
      <c r="D417" s="43"/>
      <c r="E417" s="139"/>
      <c r="F417" s="112"/>
      <c r="G417" s="112"/>
      <c r="H417" s="112"/>
      <c r="I417" s="112"/>
      <c r="J417" s="135"/>
      <c r="K417" s="136"/>
      <c r="L417" s="134"/>
    </row>
    <row r="418" spans="3:12">
      <c r="C418" s="33"/>
      <c r="D418" s="43"/>
      <c r="E418" s="139"/>
      <c r="F418" s="112"/>
      <c r="G418" s="112"/>
      <c r="H418" s="112"/>
      <c r="I418" s="112"/>
      <c r="J418" s="135"/>
      <c r="K418" s="136"/>
      <c r="L418" s="134"/>
    </row>
    <row r="419" spans="3:12">
      <c r="C419" s="33"/>
      <c r="D419" s="43"/>
      <c r="E419" s="139"/>
      <c r="F419" s="112"/>
      <c r="G419" s="112"/>
      <c r="H419" s="112"/>
      <c r="I419" s="112"/>
      <c r="J419" s="135"/>
      <c r="K419" s="136"/>
      <c r="L419" s="134"/>
    </row>
    <row r="420" spans="3:12">
      <c r="C420" s="33"/>
      <c r="D420" s="43"/>
      <c r="E420" s="139"/>
      <c r="F420" s="112"/>
      <c r="G420" s="112"/>
      <c r="H420" s="112"/>
      <c r="I420" s="112"/>
      <c r="J420" s="135"/>
      <c r="K420" s="136"/>
      <c r="L420" s="134"/>
    </row>
    <row r="421" spans="3:12">
      <c r="C421" s="33"/>
      <c r="D421" s="43"/>
      <c r="E421" s="139"/>
      <c r="F421" s="112"/>
      <c r="G421" s="112"/>
      <c r="H421" s="112"/>
      <c r="I421" s="112"/>
      <c r="J421" s="135"/>
      <c r="K421" s="136"/>
      <c r="L421" s="134"/>
    </row>
    <row r="422" spans="3:12">
      <c r="C422" s="33"/>
      <c r="D422" s="43"/>
      <c r="E422" s="139"/>
      <c r="F422" s="112"/>
      <c r="G422" s="112"/>
      <c r="H422" s="112"/>
      <c r="I422" s="112"/>
      <c r="J422" s="135"/>
      <c r="K422" s="136"/>
      <c r="L422" s="134"/>
    </row>
    <row r="423" spans="3:12">
      <c r="C423" s="33"/>
      <c r="D423" s="43"/>
      <c r="E423" s="139"/>
      <c r="F423" s="112"/>
      <c r="G423" s="112"/>
      <c r="H423" s="112"/>
      <c r="I423" s="112"/>
      <c r="J423" s="135"/>
      <c r="K423" s="136"/>
      <c r="L423" s="134"/>
    </row>
    <row r="424" spans="3:12">
      <c r="C424" s="33"/>
      <c r="D424" s="43"/>
      <c r="E424" s="139"/>
      <c r="F424" s="112"/>
      <c r="G424" s="112"/>
      <c r="H424" s="112"/>
      <c r="I424" s="112"/>
      <c r="J424" s="135"/>
      <c r="K424" s="136"/>
      <c r="L424" s="134"/>
    </row>
    <row r="425" spans="3:12">
      <c r="C425" s="33"/>
      <c r="D425" s="43"/>
      <c r="E425" s="139"/>
      <c r="F425" s="112"/>
      <c r="G425" s="112"/>
      <c r="H425" s="112"/>
      <c r="I425" s="112"/>
      <c r="J425" s="135"/>
      <c r="K425" s="136"/>
      <c r="L425" s="134"/>
    </row>
    <row r="426" spans="3:12">
      <c r="C426" s="33"/>
      <c r="D426" s="43"/>
      <c r="E426" s="139"/>
      <c r="F426" s="112"/>
      <c r="G426" s="112"/>
      <c r="H426" s="112"/>
      <c r="I426" s="112"/>
      <c r="J426" s="135"/>
      <c r="K426" s="136"/>
      <c r="L426" s="134"/>
    </row>
    <row r="427" spans="3:12">
      <c r="C427" s="33"/>
      <c r="D427" s="43"/>
      <c r="E427" s="139"/>
      <c r="F427" s="112"/>
      <c r="G427" s="112"/>
      <c r="H427" s="112"/>
      <c r="I427" s="112"/>
      <c r="J427" s="135"/>
      <c r="K427" s="136"/>
      <c r="L427" s="134"/>
    </row>
    <row r="428" spans="3:12">
      <c r="C428" s="33"/>
      <c r="D428" s="43"/>
      <c r="E428" s="139"/>
      <c r="F428" s="112"/>
      <c r="G428" s="112"/>
      <c r="H428" s="112"/>
      <c r="I428" s="112"/>
      <c r="J428" s="135"/>
      <c r="K428" s="136"/>
      <c r="L428" s="134"/>
    </row>
    <row r="429" spans="3:12">
      <c r="C429" s="33"/>
      <c r="D429" s="43"/>
      <c r="E429" s="139"/>
      <c r="F429" s="112"/>
      <c r="G429" s="112"/>
      <c r="H429" s="112"/>
      <c r="I429" s="112"/>
      <c r="J429" s="135"/>
      <c r="K429" s="136"/>
      <c r="L429" s="134"/>
    </row>
    <row r="430" spans="3:12">
      <c r="C430" s="33"/>
      <c r="D430" s="43"/>
      <c r="E430" s="139"/>
      <c r="F430" s="112"/>
      <c r="G430" s="112"/>
      <c r="H430" s="112"/>
      <c r="I430" s="112"/>
      <c r="J430" s="135"/>
      <c r="K430" s="136"/>
      <c r="L430" s="134"/>
    </row>
    <row r="431" spans="3:12">
      <c r="C431" s="33"/>
      <c r="D431" s="43"/>
      <c r="E431" s="139"/>
      <c r="F431" s="112"/>
      <c r="G431" s="112"/>
      <c r="H431" s="112"/>
      <c r="I431" s="112"/>
      <c r="J431" s="135"/>
      <c r="K431" s="136"/>
      <c r="L431" s="134"/>
    </row>
    <row r="432" spans="3:12">
      <c r="C432" s="33"/>
      <c r="D432" s="43"/>
      <c r="E432" s="139"/>
      <c r="F432" s="112"/>
      <c r="G432" s="112"/>
      <c r="H432" s="112"/>
      <c r="I432" s="112"/>
      <c r="J432" s="135"/>
      <c r="K432" s="136"/>
      <c r="L432" s="134"/>
    </row>
    <row r="433" spans="3:12">
      <c r="C433" s="33"/>
      <c r="D433" s="43"/>
      <c r="E433" s="139"/>
      <c r="F433" s="112"/>
      <c r="G433" s="112"/>
      <c r="H433" s="112"/>
      <c r="I433" s="112"/>
      <c r="J433" s="135"/>
      <c r="K433" s="136"/>
      <c r="L433" s="134"/>
    </row>
    <row r="434" spans="3:12">
      <c r="C434" s="33"/>
      <c r="D434" s="43"/>
      <c r="E434" s="139"/>
      <c r="F434" s="112"/>
      <c r="G434" s="112"/>
      <c r="H434" s="112"/>
      <c r="I434" s="112"/>
      <c r="J434" s="135"/>
      <c r="K434" s="136"/>
      <c r="L434" s="134"/>
    </row>
    <row r="435" spans="3:12">
      <c r="C435" s="33"/>
      <c r="D435" s="43"/>
      <c r="E435" s="139"/>
      <c r="F435" s="112"/>
      <c r="G435" s="112"/>
      <c r="H435" s="112"/>
      <c r="I435" s="112"/>
      <c r="J435" s="135"/>
      <c r="K435" s="136"/>
      <c r="L435" s="134"/>
    </row>
    <row r="436" spans="3:12">
      <c r="C436" s="33"/>
      <c r="D436" s="43"/>
      <c r="E436" s="139"/>
      <c r="F436" s="112"/>
      <c r="G436" s="112"/>
      <c r="H436" s="112"/>
      <c r="I436" s="112"/>
      <c r="J436" s="135"/>
      <c r="K436" s="136"/>
      <c r="L436" s="134"/>
    </row>
    <row r="437" spans="3:12">
      <c r="C437" s="33"/>
      <c r="D437" s="43"/>
      <c r="E437" s="139"/>
      <c r="F437" s="112"/>
      <c r="G437" s="112"/>
      <c r="H437" s="112"/>
      <c r="I437" s="112"/>
      <c r="J437" s="135"/>
      <c r="K437" s="136"/>
      <c r="L437" s="134"/>
    </row>
    <row r="438" spans="3:12">
      <c r="C438" s="33"/>
      <c r="D438" s="43"/>
      <c r="E438" s="139"/>
      <c r="F438" s="112"/>
      <c r="G438" s="112"/>
      <c r="H438" s="112"/>
      <c r="I438" s="112"/>
      <c r="J438" s="135"/>
      <c r="K438" s="136"/>
      <c r="L438" s="134"/>
    </row>
    <row r="439" spans="3:12">
      <c r="C439" s="33"/>
      <c r="D439" s="43"/>
      <c r="E439" s="139"/>
      <c r="F439" s="112"/>
      <c r="G439" s="112"/>
      <c r="H439" s="112"/>
      <c r="I439" s="112"/>
      <c r="J439" s="135"/>
      <c r="K439" s="136"/>
      <c r="L439" s="134"/>
    </row>
    <row r="440" spans="3:12">
      <c r="C440" s="33"/>
      <c r="D440" s="43"/>
      <c r="E440" s="139"/>
      <c r="F440" s="112"/>
      <c r="G440" s="112"/>
      <c r="H440" s="112"/>
      <c r="I440" s="112"/>
      <c r="J440" s="135"/>
      <c r="K440" s="136"/>
      <c r="L440" s="134"/>
    </row>
    <row r="441" spans="3:12">
      <c r="C441" s="33"/>
      <c r="D441" s="43"/>
      <c r="E441" s="139"/>
      <c r="F441" s="112"/>
      <c r="G441" s="112"/>
      <c r="H441" s="112"/>
      <c r="I441" s="112"/>
      <c r="J441" s="135"/>
      <c r="K441" s="136"/>
      <c r="L441" s="134"/>
    </row>
    <row r="442" spans="3:12">
      <c r="C442" s="33"/>
      <c r="D442" s="43"/>
      <c r="E442" s="139"/>
      <c r="F442" s="112"/>
      <c r="G442" s="112"/>
      <c r="H442" s="112"/>
      <c r="I442" s="112"/>
      <c r="J442" s="135"/>
      <c r="K442" s="136"/>
      <c r="L442" s="134"/>
    </row>
    <row r="443" spans="3:12">
      <c r="C443" s="33"/>
      <c r="D443" s="43"/>
      <c r="E443" s="139"/>
      <c r="F443" s="112"/>
      <c r="G443" s="112"/>
      <c r="H443" s="112"/>
      <c r="I443" s="112"/>
      <c r="J443" s="135"/>
      <c r="K443" s="136"/>
      <c r="L443" s="134"/>
    </row>
    <row r="444" spans="3:12">
      <c r="C444" s="33"/>
      <c r="D444" s="43"/>
      <c r="E444" s="139"/>
      <c r="F444" s="112"/>
      <c r="G444" s="112"/>
      <c r="H444" s="112"/>
      <c r="I444" s="112"/>
      <c r="J444" s="135"/>
      <c r="K444" s="136"/>
      <c r="L444" s="134"/>
    </row>
    <row r="445" spans="3:12">
      <c r="C445" s="33"/>
      <c r="D445" s="43"/>
      <c r="E445" s="139"/>
      <c r="F445" s="112"/>
      <c r="G445" s="112"/>
      <c r="H445" s="112"/>
      <c r="I445" s="112"/>
      <c r="J445" s="135"/>
      <c r="K445" s="136"/>
      <c r="L445" s="134"/>
    </row>
    <row r="446" spans="3:12">
      <c r="C446" s="33"/>
      <c r="D446" s="43"/>
      <c r="E446" s="139"/>
      <c r="F446" s="112"/>
      <c r="G446" s="112"/>
      <c r="H446" s="112"/>
      <c r="I446" s="112"/>
      <c r="J446" s="135"/>
      <c r="K446" s="136"/>
      <c r="L446" s="134"/>
    </row>
    <row r="447" spans="3:12">
      <c r="C447" s="33"/>
      <c r="D447" s="43"/>
      <c r="E447" s="139"/>
      <c r="F447" s="112"/>
      <c r="G447" s="112"/>
      <c r="H447" s="112"/>
      <c r="I447" s="112"/>
      <c r="J447" s="135"/>
      <c r="K447" s="136"/>
      <c r="L447" s="134"/>
    </row>
    <row r="448" spans="3:12">
      <c r="C448" s="33"/>
      <c r="D448" s="43"/>
      <c r="E448" s="139"/>
      <c r="F448" s="112"/>
      <c r="G448" s="112"/>
      <c r="H448" s="112"/>
      <c r="I448" s="112"/>
      <c r="J448" s="135"/>
      <c r="K448" s="136"/>
      <c r="L448" s="134"/>
    </row>
    <row r="449" spans="3:12">
      <c r="C449" s="33"/>
      <c r="D449" s="43"/>
      <c r="E449" s="139"/>
      <c r="F449" s="112"/>
      <c r="G449" s="112"/>
      <c r="H449" s="112"/>
      <c r="I449" s="112"/>
      <c r="J449" s="135"/>
      <c r="K449" s="136"/>
      <c r="L449" s="134"/>
    </row>
    <row r="450" spans="3:12">
      <c r="C450" s="33"/>
      <c r="D450" s="43"/>
      <c r="E450" s="139"/>
      <c r="F450" s="112"/>
      <c r="G450" s="112"/>
      <c r="H450" s="112"/>
      <c r="I450" s="112"/>
      <c r="J450" s="135"/>
      <c r="K450" s="136"/>
      <c r="L450" s="134"/>
    </row>
    <row r="451" spans="3:12">
      <c r="C451" s="33"/>
      <c r="D451" s="43"/>
      <c r="E451" s="139"/>
      <c r="F451" s="112"/>
      <c r="G451" s="112"/>
      <c r="H451" s="112"/>
      <c r="I451" s="112"/>
      <c r="J451" s="135"/>
      <c r="K451" s="136"/>
      <c r="L451" s="134"/>
    </row>
    <row r="452" spans="3:12">
      <c r="C452" s="33"/>
      <c r="D452" s="43"/>
      <c r="E452" s="139"/>
      <c r="F452" s="112"/>
      <c r="G452" s="112"/>
      <c r="H452" s="112"/>
      <c r="I452" s="112"/>
      <c r="J452" s="135"/>
      <c r="K452" s="136"/>
      <c r="L452" s="134"/>
    </row>
    <row r="453" spans="3:12">
      <c r="C453" s="33"/>
      <c r="D453" s="43"/>
      <c r="E453" s="139"/>
      <c r="F453" s="112"/>
      <c r="G453" s="112"/>
      <c r="H453" s="112"/>
      <c r="I453" s="112"/>
      <c r="J453" s="135"/>
      <c r="K453" s="136"/>
      <c r="L453" s="134"/>
    </row>
    <row r="454" spans="3:12">
      <c r="C454" s="33"/>
      <c r="D454" s="43"/>
      <c r="E454" s="139"/>
      <c r="F454" s="112"/>
      <c r="G454" s="112"/>
      <c r="H454" s="112"/>
      <c r="I454" s="112"/>
      <c r="J454" s="135"/>
      <c r="K454" s="136"/>
      <c r="L454" s="134"/>
    </row>
    <row r="455" spans="3:12">
      <c r="C455" s="33"/>
      <c r="D455" s="43"/>
      <c r="E455" s="139"/>
      <c r="F455" s="112"/>
      <c r="G455" s="112"/>
      <c r="H455" s="112"/>
      <c r="I455" s="112"/>
      <c r="J455" s="135"/>
      <c r="K455" s="136"/>
      <c r="L455" s="134"/>
    </row>
    <row r="456" spans="3:12">
      <c r="C456" s="33"/>
      <c r="D456" s="43"/>
      <c r="E456" s="139"/>
      <c r="F456" s="112"/>
      <c r="G456" s="112"/>
      <c r="H456" s="112"/>
      <c r="I456" s="112"/>
      <c r="J456" s="135"/>
      <c r="K456" s="136"/>
      <c r="L456" s="134"/>
    </row>
    <row r="457" spans="3:12">
      <c r="C457" s="33"/>
      <c r="D457" s="43"/>
      <c r="E457" s="139"/>
      <c r="F457" s="112"/>
      <c r="G457" s="112"/>
      <c r="H457" s="112"/>
      <c r="I457" s="112"/>
      <c r="J457" s="135"/>
      <c r="K457" s="136"/>
      <c r="L457" s="134"/>
    </row>
    <row r="458" spans="3:12">
      <c r="C458" s="33"/>
      <c r="D458" s="43"/>
      <c r="E458" s="139"/>
      <c r="F458" s="112"/>
      <c r="G458" s="112"/>
      <c r="H458" s="112"/>
      <c r="I458" s="112"/>
      <c r="J458" s="135"/>
      <c r="K458" s="136"/>
      <c r="L458" s="134"/>
    </row>
    <row r="459" spans="3:12">
      <c r="C459" s="33"/>
      <c r="D459" s="43"/>
      <c r="E459" s="139"/>
      <c r="F459" s="112"/>
      <c r="G459" s="112"/>
      <c r="H459" s="112"/>
      <c r="I459" s="112"/>
      <c r="J459" s="135"/>
      <c r="K459" s="136"/>
      <c r="L459" s="134"/>
    </row>
    <row r="460" spans="3:12">
      <c r="C460" s="33"/>
      <c r="D460" s="43"/>
      <c r="E460" s="139"/>
      <c r="F460" s="112"/>
      <c r="G460" s="112"/>
      <c r="H460" s="112"/>
      <c r="I460" s="112"/>
      <c r="J460" s="135"/>
      <c r="K460" s="136"/>
      <c r="L460" s="134"/>
    </row>
    <row r="461" spans="3:12">
      <c r="C461" s="33"/>
      <c r="D461" s="43"/>
      <c r="E461" s="139"/>
      <c r="F461" s="112"/>
      <c r="G461" s="112"/>
      <c r="H461" s="112"/>
      <c r="I461" s="112"/>
      <c r="J461" s="135"/>
      <c r="K461" s="136"/>
      <c r="L461" s="134"/>
    </row>
    <row r="462" spans="3:12">
      <c r="C462" s="33"/>
      <c r="D462" s="43"/>
      <c r="E462" s="139"/>
      <c r="F462" s="112"/>
      <c r="G462" s="112"/>
      <c r="H462" s="112"/>
      <c r="I462" s="112"/>
      <c r="J462" s="135"/>
      <c r="K462" s="136"/>
      <c r="L462" s="134"/>
    </row>
    <row r="463" spans="3:12">
      <c r="C463" s="33"/>
      <c r="D463" s="43"/>
      <c r="E463" s="139"/>
      <c r="F463" s="112"/>
      <c r="G463" s="112"/>
      <c r="H463" s="112"/>
      <c r="I463" s="112"/>
      <c r="J463" s="135"/>
      <c r="K463" s="136"/>
      <c r="L463" s="134"/>
    </row>
    <row r="464" spans="3:12">
      <c r="C464" s="33"/>
      <c r="D464" s="43"/>
      <c r="E464" s="139"/>
      <c r="F464" s="112"/>
      <c r="G464" s="112"/>
      <c r="H464" s="112"/>
      <c r="I464" s="112"/>
      <c r="J464" s="135"/>
      <c r="K464" s="136"/>
      <c r="L464" s="134"/>
    </row>
    <row r="465" spans="3:12">
      <c r="C465" s="33"/>
      <c r="D465" s="43"/>
      <c r="E465" s="139"/>
      <c r="F465" s="112"/>
      <c r="G465" s="112"/>
      <c r="H465" s="112"/>
      <c r="I465" s="112"/>
      <c r="J465" s="135"/>
      <c r="K465" s="136"/>
      <c r="L465" s="134"/>
    </row>
    <row r="466" spans="3:12">
      <c r="C466" s="33"/>
      <c r="D466" s="43"/>
      <c r="E466" s="139"/>
      <c r="F466" s="112"/>
      <c r="G466" s="112"/>
      <c r="H466" s="112"/>
      <c r="I466" s="112"/>
      <c r="J466" s="135"/>
      <c r="K466" s="136"/>
      <c r="L466" s="134"/>
    </row>
    <row r="467" spans="3:12">
      <c r="C467" s="33"/>
      <c r="D467" s="43"/>
      <c r="E467" s="139"/>
      <c r="F467" s="112"/>
      <c r="G467" s="112"/>
      <c r="H467" s="112"/>
      <c r="I467" s="112"/>
      <c r="J467" s="135"/>
      <c r="K467" s="136"/>
      <c r="L467" s="134"/>
    </row>
    <row r="468" spans="3:12">
      <c r="C468" s="33"/>
      <c r="D468" s="43"/>
      <c r="E468" s="139"/>
      <c r="F468" s="112"/>
      <c r="G468" s="112"/>
      <c r="H468" s="112"/>
      <c r="I468" s="112"/>
      <c r="J468" s="135"/>
      <c r="K468" s="136"/>
      <c r="L468" s="134"/>
    </row>
    <row r="469" spans="3:12">
      <c r="C469" s="33"/>
      <c r="D469" s="43"/>
      <c r="E469" s="139"/>
      <c r="F469" s="112"/>
      <c r="G469" s="112"/>
      <c r="H469" s="112"/>
      <c r="I469" s="112"/>
      <c r="J469" s="135"/>
      <c r="K469" s="136"/>
      <c r="L469" s="134"/>
    </row>
    <row r="470" spans="3:12">
      <c r="C470" s="33"/>
      <c r="D470" s="43"/>
      <c r="E470" s="139"/>
      <c r="F470" s="112"/>
      <c r="G470" s="112"/>
      <c r="H470" s="112"/>
      <c r="I470" s="112"/>
      <c r="J470" s="135"/>
      <c r="K470" s="136"/>
      <c r="L470" s="134"/>
    </row>
    <row r="471" spans="3:12">
      <c r="C471" s="33"/>
      <c r="D471" s="43"/>
      <c r="E471" s="139"/>
      <c r="F471" s="112"/>
      <c r="G471" s="112"/>
      <c r="H471" s="112"/>
      <c r="I471" s="112"/>
      <c r="J471" s="135"/>
      <c r="K471" s="136"/>
      <c r="L471" s="134"/>
    </row>
    <row r="472" spans="3:12">
      <c r="C472" s="33"/>
      <c r="D472" s="43"/>
      <c r="E472" s="139"/>
      <c r="F472" s="112"/>
      <c r="G472" s="112"/>
      <c r="H472" s="112"/>
      <c r="I472" s="112"/>
      <c r="J472" s="135"/>
      <c r="K472" s="136"/>
      <c r="L472" s="134"/>
    </row>
    <row r="473" spans="3:12">
      <c r="C473" s="33"/>
      <c r="D473" s="43"/>
      <c r="E473" s="139"/>
      <c r="F473" s="112"/>
      <c r="G473" s="112"/>
      <c r="H473" s="112"/>
      <c r="I473" s="112"/>
      <c r="J473" s="135"/>
      <c r="K473" s="136"/>
      <c r="L473" s="134"/>
    </row>
    <row r="474" spans="3:12">
      <c r="C474" s="33"/>
      <c r="D474" s="43"/>
      <c r="E474" s="139"/>
      <c r="F474" s="112"/>
      <c r="G474" s="112"/>
      <c r="H474" s="112"/>
      <c r="I474" s="112"/>
      <c r="J474" s="135"/>
      <c r="K474" s="136"/>
      <c r="L474" s="134"/>
    </row>
    <row r="475" spans="3:12">
      <c r="C475" s="33"/>
      <c r="D475" s="43"/>
      <c r="E475" s="139"/>
      <c r="F475" s="112"/>
      <c r="G475" s="112"/>
      <c r="H475" s="112"/>
      <c r="I475" s="112"/>
      <c r="J475" s="135"/>
      <c r="K475" s="136"/>
      <c r="L475" s="134"/>
    </row>
    <row r="476" spans="3:12">
      <c r="C476" s="33"/>
      <c r="D476" s="43"/>
      <c r="E476" s="139"/>
      <c r="F476" s="112"/>
      <c r="G476" s="112"/>
      <c r="H476" s="112"/>
      <c r="I476" s="112"/>
      <c r="J476" s="135"/>
      <c r="K476" s="136"/>
      <c r="L476" s="134"/>
    </row>
    <row r="477" spans="3:12">
      <c r="C477" s="33"/>
      <c r="D477" s="43"/>
      <c r="E477" s="139"/>
      <c r="F477" s="112"/>
      <c r="G477" s="112"/>
      <c r="H477" s="112"/>
      <c r="I477" s="112"/>
      <c r="J477" s="135"/>
      <c r="K477" s="136"/>
      <c r="L477" s="134"/>
    </row>
    <row r="478" spans="3:12">
      <c r="C478" s="33"/>
      <c r="D478" s="43"/>
      <c r="E478" s="139"/>
      <c r="F478" s="112"/>
      <c r="G478" s="112"/>
      <c r="H478" s="112"/>
      <c r="I478" s="112"/>
      <c r="J478" s="135"/>
      <c r="K478" s="136"/>
      <c r="L478" s="134"/>
    </row>
    <row r="479" spans="3:12">
      <c r="C479" s="33"/>
      <c r="D479" s="43"/>
      <c r="E479" s="139"/>
      <c r="F479" s="112"/>
      <c r="G479" s="112"/>
      <c r="H479" s="112"/>
      <c r="I479" s="112"/>
      <c r="J479" s="135"/>
      <c r="K479" s="136"/>
      <c r="L479" s="134"/>
    </row>
    <row r="480" spans="3:12">
      <c r="C480" s="33"/>
      <c r="D480" s="43"/>
      <c r="E480" s="139"/>
      <c r="F480" s="112"/>
      <c r="G480" s="112"/>
      <c r="H480" s="112"/>
      <c r="I480" s="112"/>
      <c r="J480" s="135"/>
      <c r="K480" s="136"/>
      <c r="L480" s="134"/>
    </row>
    <row r="481" spans="3:12">
      <c r="C481" s="33"/>
      <c r="D481" s="43"/>
      <c r="E481" s="139"/>
      <c r="F481" s="112"/>
      <c r="G481" s="112"/>
      <c r="H481" s="112"/>
      <c r="I481" s="112"/>
      <c r="J481" s="135"/>
      <c r="K481" s="136"/>
      <c r="L481" s="134"/>
    </row>
    <row r="482" spans="3:12">
      <c r="C482" s="33"/>
      <c r="D482" s="43"/>
      <c r="E482" s="139"/>
      <c r="F482" s="112"/>
      <c r="G482" s="112"/>
      <c r="H482" s="112"/>
      <c r="I482" s="112"/>
      <c r="J482" s="135"/>
      <c r="K482" s="136"/>
      <c r="L482" s="134"/>
    </row>
    <row r="483" spans="3:12">
      <c r="C483" s="33"/>
      <c r="D483" s="43"/>
      <c r="E483" s="139"/>
      <c r="F483" s="112"/>
      <c r="G483" s="112"/>
      <c r="H483" s="112"/>
      <c r="I483" s="112"/>
      <c r="J483" s="135"/>
      <c r="K483" s="136"/>
      <c r="L483" s="134"/>
    </row>
    <row r="484" spans="3:12">
      <c r="C484" s="33"/>
      <c r="D484" s="43"/>
      <c r="E484" s="139"/>
      <c r="F484" s="112"/>
      <c r="G484" s="112"/>
      <c r="H484" s="112"/>
      <c r="I484" s="112"/>
      <c r="J484" s="135"/>
      <c r="K484" s="136"/>
      <c r="L484" s="134"/>
    </row>
    <row r="485" spans="3:12">
      <c r="C485" s="33"/>
      <c r="D485" s="43"/>
      <c r="E485" s="139"/>
      <c r="F485" s="112"/>
      <c r="G485" s="112"/>
      <c r="H485" s="112"/>
      <c r="I485" s="112"/>
      <c r="J485" s="135"/>
      <c r="K485" s="136"/>
      <c r="L485" s="134"/>
    </row>
    <row r="486" spans="3:12">
      <c r="C486" s="33"/>
      <c r="D486" s="43"/>
      <c r="E486" s="139"/>
      <c r="F486" s="112"/>
      <c r="G486" s="112"/>
      <c r="H486" s="112"/>
      <c r="I486" s="112"/>
      <c r="J486" s="135"/>
      <c r="K486" s="136"/>
      <c r="L486" s="134"/>
    </row>
    <row r="487" spans="3:12">
      <c r="C487" s="33"/>
      <c r="D487" s="43"/>
      <c r="E487" s="139"/>
      <c r="F487" s="112"/>
      <c r="G487" s="112"/>
      <c r="H487" s="112"/>
      <c r="I487" s="112"/>
      <c r="J487" s="135"/>
      <c r="K487" s="136"/>
      <c r="L487" s="134"/>
    </row>
  </sheetData>
  <autoFilter ref="B7:L201" xr:uid="{B0AA353F-77D6-4AE1-8DD9-A510C1F5AF3D}"/>
  <conditionalFormatting sqref="B4">
    <cfRule type="duplicateValues" dxfId="1" priority="1"/>
  </conditionalFormatting>
  <pageMargins left="0.7" right="0.7" top="0.75" bottom="0.75" header="0.3" footer="0.3"/>
  <pageSetup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jectStatus xmlns="17f19c1b-3560-4502-bd3a-846860c60b10">Active</ProjectStatus>
    <FolderState xmlns="17f19c1b-3560-4502-bd3a-846860c60b10">Active</FolderState>
    <TaxCatchAll xmlns="397a6e98-9d7f-49b4-b5df-ddd1c2628d14" xsi:nil="true"/>
    <lcf76f155ced4ddcb4097134ff3c332f xmlns="17f19c1b-3560-4502-bd3a-846860c60b1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DC3222D1827D4CACA04C24DDB3BBA9" ma:contentTypeVersion="23" ma:contentTypeDescription="Create a new document." ma:contentTypeScope="" ma:versionID="1f4a32e5c39931b4dd90699dd191a40b">
  <xsd:schema xmlns:xsd="http://www.w3.org/2001/XMLSchema" xmlns:xs="http://www.w3.org/2001/XMLSchema" xmlns:p="http://schemas.microsoft.com/office/2006/metadata/properties" xmlns:ns2="17f19c1b-3560-4502-bd3a-846860c60b10" xmlns:ns3="397a6e98-9d7f-49b4-b5df-ddd1c2628d14" targetNamespace="http://schemas.microsoft.com/office/2006/metadata/properties" ma:root="true" ma:fieldsID="e06c12313e725b83866b6e08e4ddf0cc" ns2:_="" ns3:_="">
    <xsd:import namespace="17f19c1b-3560-4502-bd3a-846860c60b10"/>
    <xsd:import namespace="397a6e98-9d7f-49b4-b5df-ddd1c2628d1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FolderState" minOccurs="0"/>
                <xsd:element ref="ns2:ProjectStatus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f19c1b-3560-4502-bd3a-846860c60b1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d00ff54-1251-48de-9f14-d059b763192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FolderState" ma:index="24" nillable="true" ma:displayName="Folder State" ma:default="Active" ma:format="Dropdown" ma:internalName="FolderState">
      <xsd:simpleType>
        <xsd:restriction base="dms:Choice">
          <xsd:enumeration value="Active"/>
          <xsd:enumeration value="Ready for Archive"/>
          <xsd:enumeration value="In Archive"/>
        </xsd:restriction>
      </xsd:simpleType>
    </xsd:element>
    <xsd:element name="ProjectStatus" ma:index="25" nillable="true" ma:displayName="Project Status" ma:default="Active" ma:format="Dropdown" ma:internalName="ProjectStatus">
      <xsd:simpleType>
        <xsd:restriction base="dms:Choice">
          <xsd:enumeration value="Active"/>
          <xsd:enumeration value="Pending Archive"/>
          <xsd:enumeration value="Archived"/>
        </xsd:restriction>
      </xsd:simpleType>
    </xsd:element>
    <xsd:element name="MediaServiceLocation" ma:index="26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7a6e98-9d7f-49b4-b5df-ddd1c2628d14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c343f5a-90f7-417a-8c5f-6ce98f1c3042}" ma:internalName="TaxCatchAll" ma:showField="CatchAllData" ma:web="397a6e98-9d7f-49b4-b5df-ddd1c2628d1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7B3A321-B377-4849-A3CF-6BC335055432}">
  <ds:schemaRefs>
    <ds:schemaRef ds:uri="http://www.w3.org/XML/1998/namespace"/>
    <ds:schemaRef ds:uri="17f19c1b-3560-4502-bd3a-846860c60b10"/>
    <ds:schemaRef ds:uri="http://schemas.microsoft.com/office/2006/metadata/properties"/>
    <ds:schemaRef ds:uri="397a6e98-9d7f-49b4-b5df-ddd1c2628d14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1645C28-34C6-4563-AF50-23B4176FBE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7f19c1b-3560-4502-bd3a-846860c60b10"/>
    <ds:schemaRef ds:uri="397a6e98-9d7f-49b4-b5df-ddd1c2628d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D1B80CB-98C0-425A-BE18-13BFCECBD43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Home Page</vt:lpstr>
      <vt:lpstr>Inputs &gt;&gt;&gt;</vt:lpstr>
      <vt:lpstr>Core Inputs Interface</vt:lpstr>
      <vt:lpstr>Optional Project-Level Input</vt:lpstr>
      <vt:lpstr>Glossary</vt:lpstr>
      <vt:lpstr>Outputs &gt;&gt;&gt;</vt:lpstr>
      <vt:lpstr>Summary</vt:lpstr>
      <vt:lpstr>Detailed Breakdown</vt:lpstr>
      <vt:lpstr>Downloadable Outputs</vt:lpstr>
      <vt:lpstr>Model &gt;&gt;&gt;</vt:lpstr>
      <vt:lpstr>Model Calcuations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Crook</dc:creator>
  <cp:keywords/>
  <dc:description/>
  <cp:lastModifiedBy>Matthew Anstett</cp:lastModifiedBy>
  <cp:revision/>
  <dcterms:created xsi:type="dcterms:W3CDTF">2025-03-21T00:51:31Z</dcterms:created>
  <dcterms:modified xsi:type="dcterms:W3CDTF">2025-05-13T17:49:11Z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0x010100C6DC3222D1827D4CACA04C24DDB3BBA9</vt:lpwstr>
  </property>
  <property fmtid="{D5CDD505-2E9C-101B-9397-08002B2CF9AE}" pid="3" name="MediaServiceImageTags">
    <vt:lpwstr/>
  </property>
  <property fmtid="{D5CDD505-2E9C-101B-9397-08002B2CF9AE}" pid="4" name="MSIP_Label_231f5784-19ed-4d1e-9a93-4ea41014d730_Enabled">
    <vt:lpwstr>true</vt:lpwstr>
  </property>
  <property fmtid="{D5CDD505-2E9C-101B-9397-08002B2CF9AE}" pid="5" name="MSIP_Label_231f5784-19ed-4d1e-9a93-4ea41014d730_SetDate">
    <vt:lpwstr>2025-04-24T05:03:07Z</vt:lpwstr>
  </property>
  <property fmtid="{D5CDD505-2E9C-101B-9397-08002B2CF9AE}" pid="6" name="MSIP_Label_231f5784-19ed-4d1e-9a93-4ea41014d730_Method">
    <vt:lpwstr>Privileged</vt:lpwstr>
  </property>
  <property fmtid="{D5CDD505-2E9C-101B-9397-08002B2CF9AE}" pid="7" name="MSIP_Label_231f5784-19ed-4d1e-9a93-4ea41014d730_Name">
    <vt:lpwstr>External</vt:lpwstr>
  </property>
  <property fmtid="{D5CDD505-2E9C-101B-9397-08002B2CF9AE}" pid="8" name="MSIP_Label_231f5784-19ed-4d1e-9a93-4ea41014d730_SiteId">
    <vt:lpwstr>2c277f63-6743-4f98-ac15-4851e55c0cc7</vt:lpwstr>
  </property>
  <property fmtid="{D5CDD505-2E9C-101B-9397-08002B2CF9AE}" pid="9" name="MSIP_Label_231f5784-19ed-4d1e-9a93-4ea41014d730_ActionId">
    <vt:lpwstr>2901fa99-e5c2-41e5-8282-2628e66dba71</vt:lpwstr>
  </property>
  <property fmtid="{D5CDD505-2E9C-101B-9397-08002B2CF9AE}" pid="10" name="MSIP_Label_231f5784-19ed-4d1e-9a93-4ea41014d730_ContentBits">
    <vt:lpwstr>0</vt:lpwstr>
  </property>
</Properties>
</file>